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1"/>
  <workbookPr showInkAnnotation="0" autoCompressPictures="0"/>
  <mc:AlternateContent xmlns:mc="http://schemas.openxmlformats.org/markup-compatibility/2006">
    <mc:Choice Requires="x15">
      <x15ac:absPath xmlns:x15ac="http://schemas.microsoft.com/office/spreadsheetml/2010/11/ac" url="/Volumes/GoogleDrive/Team Drives/Spreadsheet/"/>
    </mc:Choice>
  </mc:AlternateContent>
  <xr:revisionPtr revIDLastSave="0" documentId="13_ncr:1_{D1B99904-7D3E-C341-912D-B9F0E8C26013}" xr6:coauthVersionLast="41" xr6:coauthVersionMax="41" xr10:uidLastSave="{00000000-0000-0000-0000-000000000000}"/>
  <bookViews>
    <workbookView xWindow="560" yWindow="460" windowWidth="36020" windowHeight="19860" tabRatio="578" activeTab="3" xr2:uid="{00000000-000D-0000-FFFF-FFFF00000000}"/>
  </bookViews>
  <sheets>
    <sheet name="directions, herbicide sheet" sheetId="4" r:id="rId1"/>
    <sheet name="herbicide cost per acre" sheetId="11" r:id="rId2"/>
    <sheet name="directions, insecticide sheet" sheetId="7" r:id="rId3"/>
    <sheet name="insecticide cost per acre" sheetId="6" r:id="rId4"/>
    <sheet name="area covered" sheetId="10" r:id="rId5"/>
  </sheets>
  <definedNames>
    <definedName name="_xlnm.Print_Titles" localSheetId="1">'herbicide cost per acre'!$1:$1</definedName>
    <definedName name="_xlnm.Print_Titles" localSheetId="3">'insecticide cost per acre'!$1:$1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O46" i="6" l="1"/>
  <c r="O45"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 r="M3" i="6"/>
  <c r="M2" i="6"/>
  <c r="K45" i="6" l="1"/>
  <c r="K21" i="6" l="1"/>
  <c r="K20" i="6"/>
  <c r="K19" i="6"/>
  <c r="K40" i="6" l="1"/>
  <c r="G71" i="11"/>
  <c r="G70" i="11"/>
  <c r="G69" i="11"/>
  <c r="I71" i="11"/>
  <c r="I70" i="11"/>
  <c r="I69" i="11"/>
  <c r="I75" i="11"/>
  <c r="I25" i="11"/>
  <c r="I26" i="11"/>
  <c r="I24" i="11"/>
  <c r="I81" i="11"/>
  <c r="G81" i="11"/>
  <c r="I83" i="11"/>
  <c r="I82" i="11"/>
  <c r="G26" i="11"/>
  <c r="G25" i="11"/>
  <c r="G24" i="11"/>
  <c r="G83" i="11" l="1"/>
  <c r="G82" i="11"/>
  <c r="K11" i="6" l="1"/>
  <c r="K38" i="6"/>
  <c r="K37" i="6"/>
  <c r="K36" i="6"/>
  <c r="K46" i="6" l="1"/>
  <c r="I68" i="11" l="1"/>
  <c r="G68" i="11"/>
  <c r="I67" i="11"/>
  <c r="G67" i="11"/>
  <c r="I66" i="11"/>
  <c r="G66" i="11"/>
  <c r="I65" i="11"/>
  <c r="G65" i="11"/>
  <c r="I64" i="11"/>
  <c r="G64" i="11"/>
  <c r="I63" i="11"/>
  <c r="G63" i="11"/>
  <c r="I62" i="11"/>
  <c r="G62" i="11"/>
  <c r="K52" i="11"/>
  <c r="I52" i="11"/>
  <c r="G52" i="11"/>
  <c r="K51" i="11"/>
  <c r="I51" i="11"/>
  <c r="G51" i="11"/>
  <c r="K50" i="11"/>
  <c r="I50" i="11"/>
  <c r="G50" i="11"/>
  <c r="K49" i="11"/>
  <c r="I49" i="11"/>
  <c r="G49" i="11"/>
  <c r="K55" i="11"/>
  <c r="I55" i="11"/>
  <c r="G55" i="11"/>
  <c r="K54" i="11"/>
  <c r="I54" i="11"/>
  <c r="G54" i="11"/>
  <c r="K53" i="11"/>
  <c r="I53" i="11"/>
  <c r="G53" i="11"/>
  <c r="I48" i="11"/>
  <c r="G48" i="11"/>
  <c r="I47" i="11"/>
  <c r="G47" i="11"/>
  <c r="I46" i="11"/>
  <c r="G46" i="11"/>
  <c r="I106" i="11"/>
  <c r="G106" i="11"/>
  <c r="I105" i="11"/>
  <c r="G105" i="11"/>
  <c r="K45" i="11"/>
  <c r="I45" i="11"/>
  <c r="G45" i="11"/>
  <c r="K44" i="11"/>
  <c r="I44" i="11"/>
  <c r="G44" i="11"/>
  <c r="K43" i="11"/>
  <c r="I43" i="11"/>
  <c r="G43" i="11"/>
  <c r="K42" i="11"/>
  <c r="I42" i="11"/>
  <c r="G42" i="11"/>
  <c r="K41" i="11"/>
  <c r="I41" i="11"/>
  <c r="G41" i="11"/>
  <c r="K40" i="11"/>
  <c r="I40" i="11"/>
  <c r="G40" i="11"/>
  <c r="K39" i="11"/>
  <c r="I39" i="11"/>
  <c r="G39" i="11"/>
  <c r="K38" i="11"/>
  <c r="I38" i="11"/>
  <c r="G38" i="11"/>
  <c r="K37" i="11"/>
  <c r="I37" i="11"/>
  <c r="G37" i="11"/>
  <c r="K36" i="11"/>
  <c r="I36" i="11"/>
  <c r="G36" i="11"/>
  <c r="K35" i="11"/>
  <c r="I35" i="11"/>
  <c r="G35" i="11"/>
  <c r="I34" i="11"/>
  <c r="G34" i="11"/>
  <c r="I33" i="11"/>
  <c r="G33" i="11"/>
  <c r="I32" i="11"/>
  <c r="G32" i="11"/>
  <c r="I31" i="11"/>
  <c r="G31" i="11"/>
  <c r="I30" i="11"/>
  <c r="G30" i="11"/>
  <c r="I104" i="11"/>
  <c r="G104" i="11"/>
  <c r="I103" i="11"/>
  <c r="G103" i="11"/>
  <c r="I102" i="11"/>
  <c r="G102" i="11"/>
  <c r="I101" i="11"/>
  <c r="G101" i="11"/>
  <c r="K100" i="11"/>
  <c r="I100" i="11"/>
  <c r="G100" i="11"/>
  <c r="K99" i="11"/>
  <c r="I99" i="11"/>
  <c r="G99" i="11"/>
  <c r="K98" i="11"/>
  <c r="I98" i="11"/>
  <c r="G98" i="11"/>
  <c r="K94" i="11"/>
  <c r="I94" i="11"/>
  <c r="G94" i="11"/>
  <c r="K93" i="11"/>
  <c r="I93" i="11"/>
  <c r="G93" i="11"/>
  <c r="K92" i="11"/>
  <c r="I92" i="11"/>
  <c r="G92" i="11"/>
  <c r="K91" i="11"/>
  <c r="I91" i="11"/>
  <c r="G91" i="11"/>
  <c r="K90" i="11"/>
  <c r="I90" i="11"/>
  <c r="G90" i="11"/>
  <c r="K89" i="11"/>
  <c r="I89" i="11"/>
  <c r="G89" i="11"/>
  <c r="K88" i="11"/>
  <c r="I88" i="11"/>
  <c r="G88" i="11"/>
  <c r="K87" i="11"/>
  <c r="I87" i="11"/>
  <c r="G87" i="11"/>
  <c r="K86" i="11"/>
  <c r="I86" i="11"/>
  <c r="G86" i="11"/>
  <c r="K85" i="11"/>
  <c r="I85" i="11"/>
  <c r="G85" i="11"/>
  <c r="K84" i="11"/>
  <c r="I84" i="11"/>
  <c r="G84" i="11"/>
  <c r="I97" i="11"/>
  <c r="G97" i="11"/>
  <c r="I96" i="11"/>
  <c r="G96" i="11"/>
  <c r="I95" i="11"/>
  <c r="G95" i="11"/>
  <c r="I80" i="11"/>
  <c r="G80" i="11"/>
  <c r="I79" i="11"/>
  <c r="G79" i="11"/>
  <c r="I78" i="11"/>
  <c r="G78" i="11"/>
  <c r="I77" i="11"/>
  <c r="G77" i="11"/>
  <c r="I76" i="11"/>
  <c r="G76" i="11"/>
  <c r="G75" i="11"/>
  <c r="I29" i="11"/>
  <c r="G29" i="11"/>
  <c r="I28" i="11"/>
  <c r="G28" i="11"/>
  <c r="I27" i="11"/>
  <c r="G27" i="11"/>
  <c r="K61" i="11"/>
  <c r="I61" i="11"/>
  <c r="G61" i="11"/>
  <c r="K60" i="11"/>
  <c r="I60" i="11"/>
  <c r="G60" i="11"/>
  <c r="K59" i="11"/>
  <c r="I59" i="11"/>
  <c r="G59" i="11"/>
  <c r="K58" i="11"/>
  <c r="I58" i="11"/>
  <c r="G58" i="11"/>
  <c r="K57" i="11"/>
  <c r="I57" i="11"/>
  <c r="G57" i="11"/>
  <c r="K56" i="11"/>
  <c r="I56" i="11"/>
  <c r="G56" i="11"/>
  <c r="K23" i="11"/>
  <c r="I23" i="11"/>
  <c r="G23" i="11"/>
  <c r="K22" i="11"/>
  <c r="I22" i="11"/>
  <c r="G22" i="11"/>
  <c r="K21" i="11"/>
  <c r="I21" i="11"/>
  <c r="G21" i="11"/>
  <c r="K20" i="11"/>
  <c r="I20" i="11"/>
  <c r="G20" i="11"/>
  <c r="K19" i="11"/>
  <c r="I19" i="11"/>
  <c r="G19" i="11"/>
  <c r="K18" i="11"/>
  <c r="I18" i="11"/>
  <c r="G18" i="11"/>
  <c r="K17" i="11"/>
  <c r="I17" i="11"/>
  <c r="G17" i="11"/>
  <c r="K16" i="11"/>
  <c r="I16" i="11"/>
  <c r="G16" i="11"/>
  <c r="K15" i="11"/>
  <c r="I15" i="11"/>
  <c r="G15" i="11"/>
  <c r="K14" i="11"/>
  <c r="I14" i="11"/>
  <c r="G14" i="11"/>
  <c r="K13" i="11"/>
  <c r="I13" i="11"/>
  <c r="G13" i="11"/>
  <c r="K12" i="11"/>
  <c r="I12" i="11"/>
  <c r="G12" i="11"/>
  <c r="K11" i="11"/>
  <c r="I11" i="11"/>
  <c r="G11" i="11"/>
  <c r="K10" i="11"/>
  <c r="I10" i="11"/>
  <c r="G10" i="11"/>
  <c r="K9" i="11"/>
  <c r="I9" i="11"/>
  <c r="G9" i="11"/>
  <c r="K8" i="11"/>
  <c r="I8" i="11"/>
  <c r="G8" i="11"/>
  <c r="K7" i="11"/>
  <c r="I7" i="11"/>
  <c r="G7" i="11"/>
  <c r="I6" i="11"/>
  <c r="G6" i="11"/>
  <c r="I5" i="11"/>
  <c r="G5" i="11"/>
  <c r="I4" i="11"/>
  <c r="G4" i="11"/>
  <c r="I3" i="11"/>
  <c r="G3" i="11"/>
  <c r="I2" i="11"/>
  <c r="G2" i="11"/>
  <c r="K32" i="6" l="1"/>
  <c r="K33" i="6"/>
  <c r="K31" i="6"/>
  <c r="C4" i="10"/>
  <c r="D4" i="10"/>
  <c r="E4" i="10"/>
  <c r="F4" i="10"/>
  <c r="G4" i="10"/>
  <c r="H4" i="10"/>
  <c r="C5" i="10"/>
  <c r="D5" i="10"/>
  <c r="E5" i="10"/>
  <c r="F5" i="10"/>
  <c r="G5" i="10"/>
  <c r="H5" i="10"/>
  <c r="C6" i="10"/>
  <c r="D6" i="10"/>
  <c r="E6" i="10"/>
  <c r="F6" i="10"/>
  <c r="G6" i="10"/>
  <c r="H6" i="10"/>
  <c r="C7" i="10"/>
  <c r="D7" i="10"/>
  <c r="E7" i="10"/>
  <c r="F7" i="10"/>
  <c r="G7" i="10"/>
  <c r="H7" i="10"/>
  <c r="C8" i="10"/>
  <c r="D8" i="10"/>
  <c r="E8" i="10"/>
  <c r="F8" i="10"/>
  <c r="G8" i="10"/>
  <c r="H8" i="10"/>
  <c r="C9" i="10"/>
  <c r="D9" i="10"/>
  <c r="E9" i="10"/>
  <c r="F9" i="10"/>
  <c r="G9" i="10"/>
  <c r="H9" i="10"/>
  <c r="C10" i="10"/>
  <c r="D10" i="10"/>
  <c r="E10" i="10"/>
  <c r="F10" i="10"/>
  <c r="G10" i="10"/>
  <c r="H10" i="10"/>
  <c r="C11" i="10"/>
  <c r="D11" i="10"/>
  <c r="E11" i="10"/>
  <c r="F11" i="10"/>
  <c r="G11" i="10"/>
  <c r="H11" i="10"/>
  <c r="C12" i="10"/>
  <c r="D12" i="10"/>
  <c r="E12" i="10"/>
  <c r="F12" i="10"/>
  <c r="G12" i="10"/>
  <c r="H12" i="10"/>
  <c r="C13" i="10"/>
  <c r="D13" i="10"/>
  <c r="E13" i="10"/>
  <c r="F13" i="10"/>
  <c r="G13" i="10"/>
  <c r="H13" i="10"/>
  <c r="C14" i="10"/>
  <c r="D14" i="10"/>
  <c r="E14" i="10"/>
  <c r="F14" i="10"/>
  <c r="G14" i="10"/>
  <c r="H14" i="10"/>
  <c r="C15" i="10"/>
  <c r="D15" i="10"/>
  <c r="E15" i="10"/>
  <c r="F15" i="10"/>
  <c r="G15" i="10"/>
  <c r="H15" i="10"/>
  <c r="C16" i="10"/>
  <c r="D16" i="10"/>
  <c r="E16" i="10"/>
  <c r="F16" i="10"/>
  <c r="G16" i="10"/>
  <c r="H16" i="10"/>
  <c r="C17" i="10"/>
  <c r="D17" i="10"/>
  <c r="E17" i="10"/>
  <c r="F17" i="10"/>
  <c r="G17" i="10"/>
  <c r="H17" i="10"/>
  <c r="C18" i="10"/>
  <c r="D18" i="10"/>
  <c r="E18" i="10"/>
  <c r="F18" i="10"/>
  <c r="G18" i="10"/>
  <c r="H18" i="10"/>
  <c r="C19" i="10"/>
  <c r="D19" i="10"/>
  <c r="E19" i="10"/>
  <c r="F19" i="10"/>
  <c r="G19" i="10"/>
  <c r="H19" i="10"/>
  <c r="C20" i="10"/>
  <c r="D20" i="10"/>
  <c r="E20" i="10"/>
  <c r="F20" i="10"/>
  <c r="G20" i="10"/>
  <c r="H20" i="10"/>
  <c r="C21" i="10"/>
  <c r="D21" i="10"/>
  <c r="E21" i="10"/>
  <c r="F21" i="10"/>
  <c r="G21" i="10"/>
  <c r="H21" i="10"/>
  <c r="C22" i="10"/>
  <c r="D22" i="10"/>
  <c r="E22" i="10"/>
  <c r="F22" i="10"/>
  <c r="G22" i="10"/>
  <c r="H22" i="10"/>
  <c r="C23" i="10"/>
  <c r="D23" i="10"/>
  <c r="E23" i="10"/>
  <c r="F23" i="10"/>
  <c r="G23" i="10"/>
  <c r="H23" i="10"/>
  <c r="H3" i="10"/>
  <c r="G3" i="10"/>
  <c r="F3" i="10"/>
  <c r="E3" i="10"/>
  <c r="D3" i="10"/>
  <c r="C3" i="10"/>
  <c r="B5" i="10"/>
  <c r="B6" i="10"/>
  <c r="B7" i="10"/>
  <c r="B8" i="10"/>
  <c r="B9" i="10"/>
  <c r="B10" i="10"/>
  <c r="B11" i="10"/>
  <c r="B12" i="10"/>
  <c r="B13" i="10"/>
  <c r="B14" i="10"/>
  <c r="B15" i="10"/>
  <c r="B16" i="10"/>
  <c r="B17" i="10"/>
  <c r="B18" i="10"/>
  <c r="B19" i="10"/>
  <c r="B20" i="10"/>
  <c r="B21" i="10"/>
  <c r="B22" i="10"/>
  <c r="B23" i="10"/>
  <c r="B4" i="10"/>
  <c r="B3" i="10"/>
  <c r="K44" i="6"/>
  <c r="K43" i="6"/>
  <c r="K24" i="6"/>
  <c r="K23" i="6"/>
  <c r="K22" i="6"/>
  <c r="K35" i="6"/>
  <c r="K34" i="6"/>
  <c r="K41" i="6"/>
  <c r="K39" i="6"/>
  <c r="K14" i="6"/>
  <c r="K13" i="6"/>
  <c r="K12" i="6"/>
  <c r="K5" i="6"/>
  <c r="K27" i="6"/>
  <c r="K26" i="6"/>
  <c r="K25" i="6"/>
  <c r="K6" i="6"/>
  <c r="K18" i="6"/>
  <c r="K17" i="6"/>
  <c r="K16" i="6"/>
  <c r="K15" i="6"/>
  <c r="K4" i="6"/>
  <c r="K3" i="6"/>
  <c r="K2" i="6"/>
  <c r="K42" i="6"/>
  <c r="K30" i="6"/>
  <c r="K29" i="6"/>
  <c r="K28" i="6"/>
  <c r="K10" i="6"/>
  <c r="K9" i="6"/>
  <c r="K8" i="6"/>
  <c r="K7" i="6"/>
</calcChain>
</file>

<file path=xl/sharedStrings.xml><?xml version="1.0" encoding="utf-8"?>
<sst xmlns="http://schemas.openxmlformats.org/spreadsheetml/2006/main" count="664" uniqueCount="362">
  <si>
    <t>Price per Unit</t>
  </si>
  <si>
    <t>Herbicide(s), common name</t>
  </si>
  <si>
    <t>Product Name</t>
  </si>
  <si>
    <t>gallon</t>
  </si>
  <si>
    <t>Application Rates, per acre</t>
  </si>
  <si>
    <t>1.5 pt</t>
  </si>
  <si>
    <t>2.0 pt</t>
  </si>
  <si>
    <t>3.0 pt</t>
  </si>
  <si>
    <r>
      <t xml:space="preserve">aminopyralid: </t>
    </r>
    <r>
      <rPr>
        <sz val="12"/>
        <color rgb="FF008000"/>
        <rFont val="Calibri"/>
        <family val="2"/>
        <scheme val="minor"/>
      </rPr>
      <t>40.6%</t>
    </r>
  </si>
  <si>
    <t>quart</t>
  </si>
  <si>
    <t>3 oz</t>
  </si>
  <si>
    <t>4 oz</t>
  </si>
  <si>
    <t>5 oz</t>
  </si>
  <si>
    <t>6 oz</t>
  </si>
  <si>
    <t>7 oz</t>
  </si>
  <si>
    <r>
      <t>aminopyralid:</t>
    </r>
    <r>
      <rPr>
        <sz val="12"/>
        <color rgb="FF008000"/>
        <rFont val="Calibri"/>
        <family val="2"/>
        <scheme val="minor"/>
      </rPr>
      <t xml:space="preserve"> 2.0 lb/gal</t>
    </r>
  </si>
  <si>
    <r>
      <t xml:space="preserve">aminopyralid: </t>
    </r>
    <r>
      <rPr>
        <sz val="12"/>
        <color rgb="FF008000"/>
        <rFont val="Calibri"/>
        <family val="2"/>
        <scheme val="minor"/>
      </rPr>
      <t>62.13%</t>
    </r>
  </si>
  <si>
    <r>
      <t xml:space="preserve">metsulfuron methyl: </t>
    </r>
    <r>
      <rPr>
        <sz val="12"/>
        <color rgb="FF008000"/>
        <rFont val="Calibri"/>
        <family val="2"/>
        <scheme val="minor"/>
      </rPr>
      <t>9.45%</t>
    </r>
  </si>
  <si>
    <r>
      <t xml:space="preserve">aminopyralid: </t>
    </r>
    <r>
      <rPr>
        <sz val="12"/>
        <color rgb="FF008000"/>
        <rFont val="Calibri"/>
        <family val="2"/>
        <scheme val="minor"/>
      </rPr>
      <t>0.525 lb/lb</t>
    </r>
  </si>
  <si>
    <r>
      <t xml:space="preserve">metsulfuron methyl: </t>
    </r>
    <r>
      <rPr>
        <sz val="12"/>
        <color rgb="FF008000"/>
        <rFont val="Calibri"/>
        <family val="2"/>
        <scheme val="minor"/>
      </rPr>
      <t>0.0945 lb/lb</t>
    </r>
  </si>
  <si>
    <t>ounces</t>
  </si>
  <si>
    <t>1.5 oz</t>
  </si>
  <si>
    <t>2.0 oz</t>
  </si>
  <si>
    <t>2.5 oz</t>
  </si>
  <si>
    <t>3.0 oz</t>
  </si>
  <si>
    <t>3.3 oz</t>
  </si>
  <si>
    <r>
      <t>picloram:</t>
    </r>
    <r>
      <rPr>
        <sz val="12"/>
        <color rgb="FF008000"/>
        <rFont val="Calibri"/>
        <family val="2"/>
        <scheme val="minor"/>
      </rPr>
      <t xml:space="preserve"> 10.2%</t>
    </r>
  </si>
  <si>
    <r>
      <t>2,4-D:</t>
    </r>
    <r>
      <rPr>
        <sz val="12"/>
        <color rgb="FF008000"/>
        <rFont val="Calibri"/>
        <family val="2"/>
        <scheme val="minor"/>
      </rPr>
      <t xml:space="preserve"> 39.6%</t>
    </r>
  </si>
  <si>
    <r>
      <t>picloram:</t>
    </r>
    <r>
      <rPr>
        <sz val="12"/>
        <color rgb="FF008000"/>
        <rFont val="Calibri"/>
        <family val="2"/>
        <scheme val="minor"/>
      </rPr>
      <t xml:space="preserve"> 0.54 lb/gal</t>
    </r>
  </si>
  <si>
    <r>
      <t>2,4-D:</t>
    </r>
    <r>
      <rPr>
        <sz val="12"/>
        <color rgb="FF008000"/>
        <rFont val="Calibri"/>
        <family val="2"/>
        <scheme val="minor"/>
      </rPr>
      <t xml:space="preserve"> 2 lb/gal</t>
    </r>
  </si>
  <si>
    <t>1 pt</t>
  </si>
  <si>
    <t>2 pt</t>
  </si>
  <si>
    <t>4 pt</t>
  </si>
  <si>
    <r>
      <t>picloram:</t>
    </r>
    <r>
      <rPr>
        <sz val="12"/>
        <color rgb="FF008000"/>
        <rFont val="Calibri"/>
        <family val="2"/>
        <scheme val="minor"/>
      </rPr>
      <t xml:space="preserve"> 24.4%</t>
    </r>
  </si>
  <si>
    <r>
      <t>picloram:</t>
    </r>
    <r>
      <rPr>
        <sz val="12"/>
        <color rgb="FF008000"/>
        <rFont val="Calibri"/>
        <family val="2"/>
        <scheme val="minor"/>
      </rPr>
      <t xml:space="preserve"> 2.0 lb/gal</t>
    </r>
  </si>
  <si>
    <t>0.5 pt</t>
  </si>
  <si>
    <t>0.75 pt</t>
  </si>
  <si>
    <t>1.0 pt</t>
  </si>
  <si>
    <t>4.0 pt</t>
  </si>
  <si>
    <r>
      <t xml:space="preserve">triclopyr: </t>
    </r>
    <r>
      <rPr>
        <sz val="12"/>
        <color rgb="FF008000"/>
        <rFont val="Calibri"/>
        <family val="2"/>
        <scheme val="minor"/>
      </rPr>
      <t>60.45%</t>
    </r>
  </si>
  <si>
    <r>
      <t xml:space="preserve">triclopyr: </t>
    </r>
    <r>
      <rPr>
        <sz val="12"/>
        <color rgb="FF008000"/>
        <rFont val="Calibri"/>
        <family val="2"/>
        <scheme val="minor"/>
      </rPr>
      <t>4 lb/gal</t>
    </r>
  </si>
  <si>
    <r>
      <t xml:space="preserve">triclopyr: </t>
    </r>
    <r>
      <rPr>
        <sz val="12"/>
        <color rgb="FF008000"/>
        <rFont val="Calibri"/>
        <family val="2"/>
        <scheme val="minor"/>
      </rPr>
      <t>16.5%</t>
    </r>
  </si>
  <si>
    <r>
      <t xml:space="preserve">triclopyr: </t>
    </r>
    <r>
      <rPr>
        <sz val="12"/>
        <color rgb="FF008000"/>
        <rFont val="Calibri"/>
        <family val="2"/>
        <scheme val="minor"/>
      </rPr>
      <t>1 lb/gal</t>
    </r>
  </si>
  <si>
    <r>
      <t xml:space="preserve">2,4-D: </t>
    </r>
    <r>
      <rPr>
        <sz val="12"/>
        <color rgb="FF008000"/>
        <rFont val="Calibri"/>
        <family val="2"/>
        <scheme val="minor"/>
      </rPr>
      <t>34.4%</t>
    </r>
  </si>
  <si>
    <r>
      <t xml:space="preserve">2,4-D: </t>
    </r>
    <r>
      <rPr>
        <sz val="12"/>
        <color rgb="FF008000"/>
        <rFont val="Calibri"/>
        <family val="2"/>
        <scheme val="minor"/>
      </rPr>
      <t>2 lb/gal</t>
    </r>
  </si>
  <si>
    <t>1 quart</t>
  </si>
  <si>
    <t>2 quart</t>
  </si>
  <si>
    <t>3 quart</t>
  </si>
  <si>
    <t>4 quart</t>
  </si>
  <si>
    <r>
      <t>picloram:</t>
    </r>
    <r>
      <rPr>
        <sz val="12"/>
        <color rgb="FF008000"/>
        <rFont val="Calibri"/>
        <family val="2"/>
        <scheme val="minor"/>
      </rPr>
      <t xml:space="preserve"> 0.67 lb/gal</t>
    </r>
  </si>
  <si>
    <r>
      <t xml:space="preserve">fluroxypyr: </t>
    </r>
    <r>
      <rPr>
        <sz val="12"/>
        <color rgb="FF008000"/>
        <rFont val="Calibri"/>
        <family val="2"/>
        <scheme val="minor"/>
      </rPr>
      <t>0.67 lb/gal</t>
    </r>
  </si>
  <si>
    <r>
      <t xml:space="preserve">fluroxypyr: </t>
    </r>
    <r>
      <rPr>
        <sz val="12"/>
        <color rgb="FF008000"/>
        <rFont val="Calibri"/>
        <family val="2"/>
        <scheme val="minor"/>
      </rPr>
      <t>10.64%</t>
    </r>
  </si>
  <si>
    <r>
      <t>picloram:</t>
    </r>
    <r>
      <rPr>
        <sz val="12"/>
        <color rgb="FF008000"/>
        <rFont val="Calibri"/>
        <family val="2"/>
        <scheme val="minor"/>
      </rPr>
      <t xml:space="preserve"> 13.24%</t>
    </r>
  </si>
  <si>
    <t>2.5 pt</t>
  </si>
  <si>
    <r>
      <t xml:space="preserve">fluroxypyr: </t>
    </r>
    <r>
      <rPr>
        <sz val="12"/>
        <color rgb="FF008000"/>
        <rFont val="Calibri"/>
        <family val="2"/>
        <scheme val="minor"/>
      </rPr>
      <t>45.52%</t>
    </r>
  </si>
  <si>
    <r>
      <t xml:space="preserve">fluroxypyr: </t>
    </r>
    <r>
      <rPr>
        <sz val="12"/>
        <color rgb="FF008000"/>
        <rFont val="Calibri"/>
        <family val="2"/>
        <scheme val="minor"/>
      </rPr>
      <t>2.8 lb/gal</t>
    </r>
  </si>
  <si>
    <t>12 oz</t>
  </si>
  <si>
    <t>22 oz</t>
  </si>
  <si>
    <r>
      <t xml:space="preserve">aminopyralid: </t>
    </r>
    <r>
      <rPr>
        <sz val="12"/>
        <color rgb="FF008000"/>
        <rFont val="Calibri"/>
        <family val="2"/>
        <scheme val="minor"/>
      </rPr>
      <t>8.24%</t>
    </r>
  </si>
  <si>
    <r>
      <t xml:space="preserve">2,4-D: </t>
    </r>
    <r>
      <rPr>
        <sz val="12"/>
        <color rgb="FF008000"/>
        <rFont val="Calibri"/>
        <family val="2"/>
        <scheme val="minor"/>
      </rPr>
      <t>41.26%</t>
    </r>
  </si>
  <si>
    <r>
      <t xml:space="preserve">aminopyralid: </t>
    </r>
    <r>
      <rPr>
        <sz val="12"/>
        <color rgb="FF008000"/>
        <rFont val="Calibri"/>
        <family val="2"/>
        <scheme val="minor"/>
      </rPr>
      <t>0.41 lb/gal</t>
    </r>
  </si>
  <si>
    <r>
      <t xml:space="preserve">2,4-D: </t>
    </r>
    <r>
      <rPr>
        <sz val="12"/>
        <color rgb="FF008000"/>
        <rFont val="Calibri"/>
        <family val="2"/>
        <scheme val="minor"/>
      </rPr>
      <t>3.33 lb/gal</t>
    </r>
  </si>
  <si>
    <t>1.2 pt</t>
  </si>
  <si>
    <t>2.1 pt</t>
  </si>
  <si>
    <r>
      <t xml:space="preserve">aminopyralid: </t>
    </r>
    <r>
      <rPr>
        <sz val="12"/>
        <color rgb="FF008000"/>
        <rFont val="Calibri"/>
        <family val="2"/>
        <scheme val="minor"/>
      </rPr>
      <t>2.0%</t>
    </r>
  </si>
  <si>
    <r>
      <t xml:space="preserve">2,4-D: </t>
    </r>
    <r>
      <rPr>
        <sz val="12"/>
        <color rgb="FF008000"/>
        <rFont val="Calibri"/>
        <family val="2"/>
        <scheme val="minor"/>
      </rPr>
      <t>44.45%</t>
    </r>
  </si>
  <si>
    <r>
      <t xml:space="preserve">aminopyralid: </t>
    </r>
    <r>
      <rPr>
        <sz val="12"/>
        <color rgb="FF008000"/>
        <rFont val="Calibri"/>
        <family val="2"/>
        <scheme val="minor"/>
      </rPr>
      <t>0.1 lb/gal</t>
    </r>
  </si>
  <si>
    <r>
      <t xml:space="preserve">2,4-D: </t>
    </r>
    <r>
      <rPr>
        <sz val="12"/>
        <color rgb="FF008000"/>
        <rFont val="Calibri"/>
        <family val="2"/>
        <scheme val="minor"/>
      </rPr>
      <t>3.54 lb/gal</t>
    </r>
  </si>
  <si>
    <t>4.5 pt</t>
  </si>
  <si>
    <r>
      <t xml:space="preserve">triclopyr: </t>
    </r>
    <r>
      <rPr>
        <sz val="12"/>
        <color rgb="FF008000"/>
        <rFont val="Calibri"/>
        <family val="2"/>
        <scheme val="minor"/>
      </rPr>
      <t>45.07%</t>
    </r>
  </si>
  <si>
    <r>
      <t xml:space="preserve">fluroxypyr: </t>
    </r>
    <r>
      <rPr>
        <sz val="12"/>
        <color rgb="FF008000"/>
        <rFont val="Calibri"/>
        <family val="2"/>
        <scheme val="minor"/>
      </rPr>
      <t>15.56%</t>
    </r>
  </si>
  <si>
    <r>
      <t xml:space="preserve">triclopyr: </t>
    </r>
    <r>
      <rPr>
        <sz val="12"/>
        <color rgb="FF008000"/>
        <rFont val="Calibri"/>
        <family val="2"/>
        <scheme val="minor"/>
      </rPr>
      <t>3.0 lb/gal</t>
    </r>
  </si>
  <si>
    <r>
      <t xml:space="preserve">fluroxypyr: </t>
    </r>
    <r>
      <rPr>
        <sz val="12"/>
        <color rgb="FF008000"/>
        <rFont val="Calibri"/>
        <family val="2"/>
        <scheme val="minor"/>
      </rPr>
      <t>1.0 lb/gal</t>
    </r>
  </si>
  <si>
    <t>Pricing Unit</t>
  </si>
  <si>
    <r>
      <t xml:space="preserve">metsulfuron methyl: </t>
    </r>
    <r>
      <rPr>
        <sz val="12"/>
        <color rgb="FF008000"/>
        <rFont val="Calibri"/>
        <family val="2"/>
        <scheme val="minor"/>
      </rPr>
      <t>48%</t>
    </r>
  </si>
  <si>
    <r>
      <t xml:space="preserve">chlorsulfuron: </t>
    </r>
    <r>
      <rPr>
        <sz val="12"/>
        <color rgb="FF008000"/>
        <rFont val="Calibri"/>
        <family val="2"/>
        <scheme val="minor"/>
      </rPr>
      <t>15%</t>
    </r>
  </si>
  <si>
    <t>ounce</t>
  </si>
  <si>
    <t>0.125 oz</t>
  </si>
  <si>
    <t>0.250 oz</t>
  </si>
  <si>
    <t>0.375 oz</t>
  </si>
  <si>
    <t>0.625 oz</t>
  </si>
  <si>
    <t>1.250 oz</t>
  </si>
  <si>
    <r>
      <t xml:space="preserve">metsulfuron methyl: </t>
    </r>
    <r>
      <rPr>
        <sz val="12"/>
        <color rgb="FF008000"/>
        <rFont val="Calibri"/>
        <family val="2"/>
        <scheme val="minor"/>
      </rPr>
      <t>30%</t>
    </r>
  </si>
  <si>
    <r>
      <t xml:space="preserve">chlorsulfuron: </t>
    </r>
    <r>
      <rPr>
        <sz val="12"/>
        <color rgb="FF008000"/>
        <rFont val="Calibri"/>
        <family val="2"/>
        <scheme val="minor"/>
      </rPr>
      <t>37.5%</t>
    </r>
  </si>
  <si>
    <t>1.0 oz</t>
  </si>
  <si>
    <r>
      <t xml:space="preserve">metsulfuron methyl: </t>
    </r>
    <r>
      <rPr>
        <sz val="12"/>
        <color rgb="FF008000"/>
        <rFont val="Calibri"/>
        <family val="2"/>
        <scheme val="minor"/>
      </rPr>
      <t>0.75%</t>
    </r>
  </si>
  <si>
    <r>
      <t xml:space="preserve">dicamba: </t>
    </r>
    <r>
      <rPr>
        <sz val="12"/>
        <color rgb="FF008000"/>
        <rFont val="Calibri"/>
        <family val="2"/>
        <scheme val="minor"/>
      </rPr>
      <t>12.25%</t>
    </r>
  </si>
  <si>
    <r>
      <t>2,4-D:</t>
    </r>
    <r>
      <rPr>
        <sz val="12"/>
        <color rgb="FF008000"/>
        <rFont val="Calibri"/>
        <family val="2"/>
        <scheme val="minor"/>
      </rPr>
      <t xml:space="preserve"> 35.25%</t>
    </r>
  </si>
  <si>
    <r>
      <t xml:space="preserve">dicamba: </t>
    </r>
    <r>
      <rPr>
        <sz val="12"/>
        <color rgb="FF008000"/>
        <rFont val="Calibri"/>
        <family val="2"/>
        <scheme val="minor"/>
      </rPr>
      <t>1 lb/gal</t>
    </r>
  </si>
  <si>
    <r>
      <t xml:space="preserve">2,4-D: 2.87 </t>
    </r>
    <r>
      <rPr>
        <sz val="12"/>
        <color rgb="FF008000"/>
        <rFont val="Calibri"/>
        <family val="2"/>
        <scheme val="minor"/>
      </rPr>
      <t>lb/gal</t>
    </r>
  </si>
  <si>
    <t>0.25 oz + 1 pt</t>
  </si>
  <si>
    <t>0.50 oz + 2 pt</t>
  </si>
  <si>
    <t>1 oz + 4 pt</t>
  </si>
  <si>
    <r>
      <t xml:space="preserve">nicosulfuron: </t>
    </r>
    <r>
      <rPr>
        <sz val="12"/>
        <color rgb="FF008000"/>
        <rFont val="Calibri"/>
        <family val="2"/>
        <scheme val="minor"/>
      </rPr>
      <t>56.2%</t>
    </r>
  </si>
  <si>
    <t>1.25 oz</t>
  </si>
  <si>
    <t>2.75 pt</t>
  </si>
  <si>
    <t>3.5 pt</t>
  </si>
  <si>
    <r>
      <t xml:space="preserve">2,4-D </t>
    </r>
    <r>
      <rPr>
        <sz val="12"/>
        <color rgb="FFFF0000"/>
        <rFont val="Calibri"/>
        <family val="2"/>
        <scheme val="minor"/>
      </rPr>
      <t>amine salt</t>
    </r>
    <r>
      <rPr>
        <sz val="12"/>
        <color theme="1"/>
        <rFont val="Calibri"/>
        <family val="2"/>
        <scheme val="minor"/>
      </rPr>
      <t xml:space="preserve">: </t>
    </r>
    <r>
      <rPr>
        <sz val="12"/>
        <color rgb="FF008000"/>
        <rFont val="Calibri"/>
        <family val="2"/>
        <scheme val="minor"/>
      </rPr>
      <t>46.80%</t>
    </r>
  </si>
  <si>
    <r>
      <t xml:space="preserve">2,4-D: </t>
    </r>
    <r>
      <rPr>
        <sz val="12"/>
        <color rgb="FF008000"/>
        <rFont val="Calibri"/>
        <family val="2"/>
        <scheme val="minor"/>
      </rPr>
      <t>3.8 lb/gal</t>
    </r>
  </si>
  <si>
    <t>3 pt</t>
  </si>
  <si>
    <r>
      <t xml:space="preserve">2,4-D </t>
    </r>
    <r>
      <rPr>
        <sz val="12"/>
        <color rgb="FFFF0000"/>
        <rFont val="Calibri"/>
        <family val="2"/>
        <scheme val="minor"/>
      </rPr>
      <t>amine salt</t>
    </r>
    <r>
      <rPr>
        <sz val="12"/>
        <color theme="1"/>
        <rFont val="Calibri"/>
        <family val="2"/>
        <scheme val="minor"/>
      </rPr>
      <t xml:space="preserve">: </t>
    </r>
    <r>
      <rPr>
        <sz val="12"/>
        <color rgb="FF008000"/>
        <rFont val="Calibri"/>
        <family val="2"/>
        <scheme val="minor"/>
      </rPr>
      <t>47.30%</t>
    </r>
  </si>
  <si>
    <t>4.2 pt</t>
  </si>
  <si>
    <r>
      <t>dicamba:</t>
    </r>
    <r>
      <rPr>
        <sz val="12"/>
        <color rgb="FF008000"/>
        <rFont val="Calibri"/>
        <family val="2"/>
        <scheme val="minor"/>
      </rPr>
      <t xml:space="preserve"> 12.4%</t>
    </r>
  </si>
  <si>
    <r>
      <t>2,4-D:</t>
    </r>
    <r>
      <rPr>
        <sz val="12"/>
        <color rgb="FF008000"/>
        <rFont val="Calibri"/>
        <family val="2"/>
        <scheme val="minor"/>
      </rPr>
      <t xml:space="preserve"> 35.7%</t>
    </r>
  </si>
  <si>
    <r>
      <t>dicamba:</t>
    </r>
    <r>
      <rPr>
        <sz val="12"/>
        <color rgb="FF008000"/>
        <rFont val="Calibri"/>
        <family val="2"/>
        <scheme val="minor"/>
      </rPr>
      <t xml:space="preserve"> 1 lb/gal</t>
    </r>
  </si>
  <si>
    <r>
      <t>2,4-D:</t>
    </r>
    <r>
      <rPr>
        <sz val="12"/>
        <color rgb="FF008000"/>
        <rFont val="Calibri"/>
        <family val="2"/>
        <scheme val="minor"/>
      </rPr>
      <t xml:space="preserve"> 2.87 lb/gal</t>
    </r>
  </si>
  <si>
    <r>
      <t xml:space="preserve">sulfosulfuron: </t>
    </r>
    <r>
      <rPr>
        <sz val="12"/>
        <color rgb="FF008000"/>
        <rFont val="Calibri"/>
        <family val="2"/>
        <scheme val="minor"/>
      </rPr>
      <t>75%</t>
    </r>
  </si>
  <si>
    <t>1.33 oz</t>
  </si>
  <si>
    <r>
      <t xml:space="preserve">hexazinone: </t>
    </r>
    <r>
      <rPr>
        <sz val="12"/>
        <color rgb="FF008000"/>
        <rFont val="Calibri"/>
        <family val="2"/>
        <scheme val="minor"/>
      </rPr>
      <t>25%</t>
    </r>
  </si>
  <si>
    <t>Directions:</t>
  </si>
  <si>
    <t>0.5 oz</t>
  </si>
  <si>
    <t>Herbicided Cost per acre, $</t>
  </si>
  <si>
    <r>
      <rPr>
        <u/>
        <sz val="12"/>
        <rFont val="Calibri"/>
        <family val="2"/>
        <scheme val="minor"/>
      </rPr>
      <t>Herbicides, common name (Column B)</t>
    </r>
    <r>
      <rPr>
        <sz val="12"/>
        <rFont val="Calibri"/>
        <family val="2"/>
        <scheme val="minor"/>
      </rPr>
      <t>: this column contains the common name of the herbicide(s) found in each product; it also contains the % concentration of each herbicide</t>
    </r>
  </si>
  <si>
    <t>(generics available)</t>
  </si>
  <si>
    <r>
      <rPr>
        <u/>
        <sz val="12"/>
        <color rgb="FF0000FF"/>
        <rFont val="Calibri"/>
        <family val="2"/>
        <scheme val="minor"/>
      </rPr>
      <t>Price per Unit (Column E)</t>
    </r>
    <r>
      <rPr>
        <sz val="12"/>
        <color rgb="FF0000FF"/>
        <rFont val="Calibri"/>
        <family val="2"/>
        <scheme val="minor"/>
      </rPr>
      <t xml:space="preserve">: this is the only column in which data should be entered and as a reminder it is the only column with blue text; </t>
    </r>
    <r>
      <rPr>
        <b/>
        <sz val="12"/>
        <color rgb="FF0000FF"/>
        <rFont val="Calibri"/>
        <family val="2"/>
        <scheme val="minor"/>
      </rPr>
      <t>enter the appropriate unit price for each product you are interested in</t>
    </r>
    <r>
      <rPr>
        <sz val="12"/>
        <color rgb="FF0000FF"/>
        <rFont val="Calibri"/>
        <family val="2"/>
        <scheme val="minor"/>
      </rPr>
      <t xml:space="preserve">; some of the time prices will be quoted to you as price per gallon or price per ounce and you can enter that value directly in column E; other times the price may be quoted per container and you will need to calculate the price for the appropriate pricing unit [for example: if a 2.5 gallon jug of herbicide costs $86, then the price per gallon would be $34.40 (i.e. $86/2.5 gallons = $34.40 per gallon) so you would enter $34.40 in column E] </t>
    </r>
  </si>
  <si>
    <r>
      <rPr>
        <u/>
        <sz val="12"/>
        <color theme="1"/>
        <rFont val="Calibri"/>
        <family val="2"/>
        <scheme val="minor"/>
      </rPr>
      <t>Cost per acre, $ (Column G)</t>
    </r>
    <r>
      <rPr>
        <sz val="12"/>
        <color theme="1"/>
        <rFont val="Calibri"/>
        <family val="2"/>
        <scheme val="minor"/>
      </rPr>
      <t>: this column shows the herbicide cost per acre for the corresponding application rate</t>
    </r>
  </si>
  <si>
    <r>
      <rPr>
        <u/>
        <sz val="12"/>
        <color theme="1"/>
        <rFont val="Calibri"/>
        <family val="2"/>
        <scheme val="minor"/>
      </rPr>
      <t>Application Rates, per acre (Column F)</t>
    </r>
    <r>
      <rPr>
        <sz val="12"/>
        <color theme="1"/>
        <rFont val="Calibri"/>
        <family val="2"/>
        <scheme val="minor"/>
      </rPr>
      <t>: this column lists several of the labeled application rates for each herbicide</t>
    </r>
  </si>
  <si>
    <t>aminopyralid</t>
  </si>
  <si>
    <t>2,4-D</t>
  </si>
  <si>
    <t>metsulfuron methyl</t>
  </si>
  <si>
    <t>.</t>
  </si>
  <si>
    <t>Insecticide(s), common name</t>
  </si>
  <si>
    <t>Equivalent(s)</t>
  </si>
  <si>
    <t>Insecticide Cost per acre, $</t>
  </si>
  <si>
    <t>Labeled for Grasshoppers</t>
  </si>
  <si>
    <t>Labeled for Armyworms</t>
  </si>
  <si>
    <r>
      <t>beta-cyfluthrin:</t>
    </r>
    <r>
      <rPr>
        <sz val="12"/>
        <color rgb="FF008000"/>
        <rFont val="Calibri"/>
        <family val="2"/>
        <scheme val="minor"/>
      </rPr>
      <t xml:space="preserve"> 1.0 lb/gal</t>
    </r>
  </si>
  <si>
    <t>yes</t>
  </si>
  <si>
    <t>1.6 oz</t>
  </si>
  <si>
    <t>1.9 oz</t>
  </si>
  <si>
    <t>2.6 oz</t>
  </si>
  <si>
    <t>2.8 oz</t>
  </si>
  <si>
    <r>
      <t xml:space="preserve">lambda-cyhalothrin: </t>
    </r>
    <r>
      <rPr>
        <sz val="12"/>
        <color rgb="FF008000"/>
        <rFont val="Calibri"/>
        <family val="2"/>
        <scheme val="minor"/>
      </rPr>
      <t>1.0 lb/gal</t>
    </r>
  </si>
  <si>
    <t>2.56 oz</t>
  </si>
  <si>
    <t>3.84 oz</t>
  </si>
  <si>
    <t>4.0 oz</t>
  </si>
  <si>
    <r>
      <t xml:space="preserve">chlorantraniliprole: </t>
    </r>
    <r>
      <rPr>
        <sz val="12"/>
        <color rgb="FF008000"/>
        <rFont val="Calibri"/>
        <family val="2"/>
        <scheme val="minor"/>
      </rPr>
      <t>5%</t>
    </r>
  </si>
  <si>
    <r>
      <t xml:space="preserve">chlorantraniliprole: </t>
    </r>
    <r>
      <rPr>
        <sz val="12"/>
        <color rgb="FF008000"/>
        <rFont val="Calibri"/>
        <family val="2"/>
        <scheme val="minor"/>
      </rPr>
      <t>0.43 lb/gal</t>
    </r>
  </si>
  <si>
    <t>20 oz</t>
  </si>
  <si>
    <r>
      <t xml:space="preserve">carbaryl: </t>
    </r>
    <r>
      <rPr>
        <sz val="12"/>
        <color rgb="FF008000"/>
        <rFont val="Calibri"/>
        <family val="2"/>
        <scheme val="minor"/>
      </rPr>
      <t>44.1%</t>
    </r>
  </si>
  <si>
    <r>
      <t xml:space="preserve">carbaryl: </t>
    </r>
    <r>
      <rPr>
        <sz val="12"/>
        <color rgb="FF008000"/>
        <rFont val="Calibri"/>
        <family val="2"/>
        <scheme val="minor"/>
      </rPr>
      <t>4.0 lb/gal</t>
    </r>
  </si>
  <si>
    <t>1.5 quarts</t>
  </si>
  <si>
    <t>1.0 quarts</t>
  </si>
  <si>
    <t>0.5 quarts</t>
  </si>
  <si>
    <r>
      <t xml:space="preserve">cyfluthrin: </t>
    </r>
    <r>
      <rPr>
        <sz val="12"/>
        <color rgb="FF008000"/>
        <rFont val="Calibri"/>
        <family val="2"/>
        <scheme val="minor"/>
      </rPr>
      <t>2.0 lb/gal</t>
    </r>
  </si>
  <si>
    <t>Texas A&amp;M AgriLife Extension Service</t>
  </si>
  <si>
    <r>
      <rPr>
        <u/>
        <sz val="12"/>
        <rFont val="Calibri"/>
        <family val="2"/>
        <scheme val="minor"/>
      </rPr>
      <t>Product Name (Column A)</t>
    </r>
    <r>
      <rPr>
        <sz val="12"/>
        <rFont val="Calibri"/>
        <family val="2"/>
        <scheme val="minor"/>
      </rPr>
      <t>: this column contains the product name</t>
    </r>
  </si>
  <si>
    <r>
      <rPr>
        <u/>
        <sz val="12"/>
        <rFont val="Calibri"/>
        <family val="2"/>
        <scheme val="minor"/>
      </rPr>
      <t>Insecticides, common name (Column B)</t>
    </r>
    <r>
      <rPr>
        <sz val="12"/>
        <rFont val="Calibri"/>
        <family val="2"/>
        <scheme val="minor"/>
      </rPr>
      <t>: this column contains the common name of the insecticide(s) found in each product; it also contains the % concentration of each insecticide</t>
    </r>
  </si>
  <si>
    <r>
      <t xml:space="preserve">malathion: </t>
    </r>
    <r>
      <rPr>
        <sz val="12"/>
        <color rgb="FF008000"/>
        <rFont val="Calibri"/>
        <family val="2"/>
        <scheme val="minor"/>
      </rPr>
      <t>57%</t>
    </r>
  </si>
  <si>
    <t>1.5 pints</t>
  </si>
  <si>
    <t>2.0 pints</t>
  </si>
  <si>
    <r>
      <rPr>
        <u/>
        <sz val="12"/>
        <rFont val="Calibri"/>
        <family val="2"/>
        <scheme val="minor"/>
      </rPr>
      <t>Equivalent(s) (Column C)</t>
    </r>
    <r>
      <rPr>
        <sz val="12"/>
        <rFont val="Calibri"/>
        <family val="2"/>
        <scheme val="minor"/>
      </rPr>
      <t>: this column contains the amount (e.g. lb/gal) of  equivalent active ingredient for each insecticide;  equivalents should be used when comparing the amount of insecticide in various products</t>
    </r>
  </si>
  <si>
    <r>
      <rPr>
        <u/>
        <sz val="12"/>
        <rFont val="Calibri"/>
        <family val="2"/>
        <scheme val="minor"/>
      </rPr>
      <t>Pricing Unit (Column D)</t>
    </r>
    <r>
      <rPr>
        <sz val="12"/>
        <rFont val="Calibri"/>
        <family val="2"/>
        <scheme val="minor"/>
      </rPr>
      <t xml:space="preserve">: this column indicates the volumetric unit on which prices are entered for each product </t>
    </r>
  </si>
  <si>
    <r>
      <t xml:space="preserve">lambda-cyhalothrin: </t>
    </r>
    <r>
      <rPr>
        <sz val="12"/>
        <color rgb="FF008000"/>
        <rFont val="Calibri"/>
        <family val="2"/>
        <scheme val="minor"/>
      </rPr>
      <t>22.8%</t>
    </r>
  </si>
  <si>
    <r>
      <t xml:space="preserve">lambda-cyhalothrin: </t>
    </r>
    <r>
      <rPr>
        <sz val="12"/>
        <color rgb="FF008000"/>
        <rFont val="Calibri"/>
        <family val="2"/>
        <scheme val="minor"/>
      </rPr>
      <t>2.08 lb/gal</t>
    </r>
  </si>
  <si>
    <t>1.28 oz</t>
  </si>
  <si>
    <t>1.92 oz</t>
  </si>
  <si>
    <t>1 oz</t>
  </si>
  <si>
    <t>2 oz</t>
  </si>
  <si>
    <t>16 oz</t>
  </si>
  <si>
    <t>8 oz</t>
  </si>
  <si>
    <r>
      <t>diflubenzuron:</t>
    </r>
    <r>
      <rPr>
        <sz val="12"/>
        <color rgb="FF008000"/>
        <rFont val="Calibri"/>
        <family val="2"/>
        <scheme val="minor"/>
      </rPr>
      <t xml:space="preserve"> 22%</t>
    </r>
  </si>
  <si>
    <r>
      <t xml:space="preserve">beta-cyfluthrin: </t>
    </r>
    <r>
      <rPr>
        <sz val="12"/>
        <color rgb="FF008000"/>
        <rFont val="Calibri"/>
        <family val="2"/>
        <scheme val="minor"/>
      </rPr>
      <t>12.70%</t>
    </r>
  </si>
  <si>
    <r>
      <t xml:space="preserve">cyfluthrin: </t>
    </r>
    <r>
      <rPr>
        <sz val="12"/>
        <color rgb="FF008000"/>
        <rFont val="Calibri"/>
        <family val="2"/>
        <scheme val="minor"/>
      </rPr>
      <t>24.74%</t>
    </r>
  </si>
  <si>
    <r>
      <t xml:space="preserve">cyfluthrin: </t>
    </r>
    <r>
      <rPr>
        <sz val="12"/>
        <color rgb="FF008000"/>
        <rFont val="Calibri"/>
        <family val="2"/>
        <scheme val="minor"/>
      </rPr>
      <t>25%</t>
    </r>
  </si>
  <si>
    <t>dicamba</t>
  </si>
  <si>
    <t>fluroxypyr</t>
  </si>
  <si>
    <t>hexazinone</t>
  </si>
  <si>
    <r>
      <t xml:space="preserve">hexazinone: </t>
    </r>
    <r>
      <rPr>
        <sz val="12"/>
        <color rgb="FF008000"/>
        <rFont val="Calibri"/>
        <family val="2"/>
        <scheme val="minor"/>
      </rPr>
      <t>2.0 lb/gal</t>
    </r>
  </si>
  <si>
    <r>
      <t xml:space="preserve">metsulfuron methyl: </t>
    </r>
    <r>
      <rPr>
        <sz val="12"/>
        <color rgb="FF008000"/>
        <rFont val="Calibri"/>
        <family val="2"/>
        <scheme val="minor"/>
      </rPr>
      <t>0.48 lb/lb</t>
    </r>
  </si>
  <si>
    <r>
      <t xml:space="preserve">chlorsulfuron: </t>
    </r>
    <r>
      <rPr>
        <sz val="12"/>
        <color rgb="FF008000"/>
        <rFont val="Calibri"/>
        <family val="2"/>
        <scheme val="minor"/>
      </rPr>
      <t>0.15 lb/lb</t>
    </r>
  </si>
  <si>
    <t>chlorsulfuron</t>
  </si>
  <si>
    <r>
      <t xml:space="preserve">metsulfuron methyl: </t>
    </r>
    <r>
      <rPr>
        <sz val="12"/>
        <color rgb="FF008000"/>
        <rFont val="Calibri"/>
        <family val="2"/>
        <scheme val="minor"/>
      </rPr>
      <t>0.30 lb/lb</t>
    </r>
  </si>
  <si>
    <r>
      <t xml:space="preserve">chlorsulfuron: </t>
    </r>
    <r>
      <rPr>
        <sz val="12"/>
        <color rgb="FF008000"/>
        <rFont val="Calibri"/>
        <family val="2"/>
        <scheme val="minor"/>
      </rPr>
      <t>0.375 lb/lb</t>
    </r>
  </si>
  <si>
    <t>Active Ingredient(s)/Unit</t>
  </si>
  <si>
    <t>picloram</t>
  </si>
  <si>
    <t>triclopyr</t>
  </si>
  <si>
    <r>
      <t xml:space="preserve">metsulfuron methyl: </t>
    </r>
    <r>
      <rPr>
        <sz val="12"/>
        <color rgb="FF008000"/>
        <rFont val="Calibri"/>
        <family val="2"/>
        <scheme val="minor"/>
      </rPr>
      <t>0.60 lb/lb</t>
    </r>
  </si>
  <si>
    <r>
      <t xml:space="preserve">metsulfuron methyl: </t>
    </r>
    <r>
      <rPr>
        <sz val="12"/>
        <color rgb="FF008000"/>
        <rFont val="Calibri"/>
        <family val="2"/>
        <scheme val="minor"/>
      </rPr>
      <t>15%</t>
    </r>
  </si>
  <si>
    <r>
      <t xml:space="preserve">nicosulfuron: </t>
    </r>
    <r>
      <rPr>
        <sz val="12"/>
        <color rgb="FF008000"/>
        <rFont val="Calibri"/>
        <family val="2"/>
        <scheme val="minor"/>
      </rPr>
      <t>0.562 lb/lb</t>
    </r>
  </si>
  <si>
    <r>
      <t xml:space="preserve">metsulfuron methyl: </t>
    </r>
    <r>
      <rPr>
        <sz val="12"/>
        <color rgb="FF008000"/>
        <rFont val="Calibri"/>
        <family val="2"/>
        <scheme val="minor"/>
      </rPr>
      <t>0.15 lb/lb</t>
    </r>
  </si>
  <si>
    <t>nicosulfuron</t>
  </si>
  <si>
    <r>
      <t xml:space="preserve">sulfosulfuron: </t>
    </r>
    <r>
      <rPr>
        <sz val="12"/>
        <color rgb="FF008000"/>
        <rFont val="Calibri"/>
        <family val="2"/>
        <scheme val="minor"/>
      </rPr>
      <t>0.75 lb/lb</t>
    </r>
  </si>
  <si>
    <t>sulfosulfuron</t>
  </si>
  <si>
    <t>Dr. Jason Banta, Associate Professor and  Extension Beef Cattle Specialist</t>
  </si>
  <si>
    <r>
      <rPr>
        <u/>
        <sz val="12"/>
        <rFont val="Calibri"/>
        <family val="2"/>
        <scheme val="minor"/>
      </rPr>
      <t>Active Ingredient(s) (Column C)</t>
    </r>
    <r>
      <rPr>
        <sz val="12"/>
        <rFont val="Calibri"/>
        <family val="2"/>
        <scheme val="minor"/>
      </rPr>
      <t>: this column contains the amount (e.g. lb/gal) of active ingredient for each herbicide; lbs of active ingredient should be used when comparing the amount of herbicide in various products</t>
    </r>
  </si>
  <si>
    <r>
      <t xml:space="preserve">glyphosate: </t>
    </r>
    <r>
      <rPr>
        <sz val="12"/>
        <color rgb="FF008000"/>
        <rFont val="Calibri"/>
        <family val="2"/>
        <scheme val="minor"/>
      </rPr>
      <t>41%</t>
    </r>
  </si>
  <si>
    <r>
      <t xml:space="preserve">glyphosate: </t>
    </r>
    <r>
      <rPr>
        <sz val="12"/>
        <color rgb="FF008000"/>
        <rFont val="Calibri"/>
        <family val="2"/>
        <scheme val="minor"/>
      </rPr>
      <t>4 lb/gal</t>
    </r>
  </si>
  <si>
    <t>0.5 qt</t>
  </si>
  <si>
    <t>1 qt</t>
  </si>
  <si>
    <t>2 qt</t>
  </si>
  <si>
    <t>3 qt</t>
  </si>
  <si>
    <t>4 qt</t>
  </si>
  <si>
    <t>5 qt</t>
  </si>
  <si>
    <t>glyphosate</t>
  </si>
  <si>
    <t xml:space="preserve">(brand name and other </t>
  </si>
  <si>
    <t>generics available)</t>
  </si>
  <si>
    <r>
      <t xml:space="preserve">aminopyralid: </t>
    </r>
    <r>
      <rPr>
        <sz val="12"/>
        <color rgb="FF008000"/>
        <rFont val="Calibri"/>
        <family val="2"/>
        <scheme val="minor"/>
      </rPr>
      <t>6.02%</t>
    </r>
  </si>
  <si>
    <r>
      <t xml:space="preserve">clopyralid: </t>
    </r>
    <r>
      <rPr>
        <sz val="12"/>
        <color rgb="FF008000"/>
        <rFont val="Calibri"/>
        <family val="2"/>
        <scheme val="minor"/>
      </rPr>
      <t>30.82%</t>
    </r>
  </si>
  <si>
    <r>
      <t xml:space="preserve">aminopyralid: </t>
    </r>
    <r>
      <rPr>
        <sz val="12"/>
        <color rgb="FF008000"/>
        <rFont val="Calibri"/>
        <family val="2"/>
        <scheme val="minor"/>
      </rPr>
      <t>0.5 lb/gal</t>
    </r>
  </si>
  <si>
    <r>
      <t xml:space="preserve">clopyralid: </t>
    </r>
    <r>
      <rPr>
        <sz val="12"/>
        <color rgb="FF008000"/>
        <rFont val="Calibri"/>
        <family val="2"/>
        <scheme val="minor"/>
      </rPr>
      <t>2.3 lb/gal</t>
    </r>
  </si>
  <si>
    <t>1.25 pt</t>
  </si>
  <si>
    <t>1.75 pt</t>
  </si>
  <si>
    <t>clopyralid</t>
  </si>
  <si>
    <r>
      <t xml:space="preserve">zeta-cypermethrin: </t>
    </r>
    <r>
      <rPr>
        <sz val="12"/>
        <color rgb="FF008000"/>
        <rFont val="Calibri"/>
        <family val="2"/>
        <scheme val="minor"/>
      </rPr>
      <t>9.15%</t>
    </r>
  </si>
  <si>
    <r>
      <t xml:space="preserve">zeta-cypermethrin: </t>
    </r>
    <r>
      <rPr>
        <sz val="12"/>
        <color rgb="FF008000"/>
        <rFont val="Calibri"/>
        <family val="2"/>
        <scheme val="minor"/>
      </rPr>
      <t>0.8 lb/gal</t>
    </r>
  </si>
  <si>
    <r>
      <t xml:space="preserve">chlorantraniliprole: </t>
    </r>
    <r>
      <rPr>
        <sz val="12"/>
        <color rgb="FF008000"/>
        <rFont val="Calibri"/>
        <family val="2"/>
        <scheme val="minor"/>
      </rPr>
      <t>18.4%</t>
    </r>
  </si>
  <si>
    <r>
      <t xml:space="preserve">chlorantraniliprole: </t>
    </r>
    <r>
      <rPr>
        <sz val="12"/>
        <color rgb="FF008000"/>
        <rFont val="Calibri"/>
        <family val="2"/>
        <scheme val="minor"/>
      </rPr>
      <t>1.67 lb/gal</t>
    </r>
  </si>
  <si>
    <t>2 mph</t>
  </si>
  <si>
    <t>3 mph</t>
  </si>
  <si>
    <t>4 mph</t>
  </si>
  <si>
    <t>5 mph</t>
  </si>
  <si>
    <t>6 mph</t>
  </si>
  <si>
    <t>7 mph</t>
  </si>
  <si>
    <t>8 mph</t>
  </si>
  <si>
    <t>Spray width, ft</t>
  </si>
  <si>
    <t>Acres covered/hour</t>
  </si>
  <si>
    <t>Dr. Vanessa Corriher-Olson, Associate Professor and  Extension Forage Specialist</t>
  </si>
  <si>
    <t xml:space="preserve">Click on the tab at the bottom of the page to access the Insecticide Cost Per Acre Spreadsheet </t>
  </si>
  <si>
    <r>
      <t>lambda-cyhalothrin:</t>
    </r>
    <r>
      <rPr>
        <sz val="12"/>
        <color rgb="FF008000"/>
        <rFont val="Calibri"/>
        <family val="2"/>
        <scheme val="minor"/>
      </rPr>
      <t xml:space="preserve"> 11.4% or 13.1%</t>
    </r>
  </si>
  <si>
    <r>
      <t>spinosad:</t>
    </r>
    <r>
      <rPr>
        <sz val="12"/>
        <color rgb="FF008000"/>
        <rFont val="Calibri"/>
        <family val="2"/>
        <scheme val="minor"/>
      </rPr>
      <t xml:space="preserve"> 36%</t>
    </r>
  </si>
  <si>
    <r>
      <t>spinosad:</t>
    </r>
    <r>
      <rPr>
        <sz val="12"/>
        <color rgb="FF008000"/>
        <rFont val="Calibri"/>
        <family val="2"/>
        <scheme val="minor"/>
      </rPr>
      <t xml:space="preserve"> 2.91 lb/gal</t>
    </r>
  </si>
  <si>
    <t>1.1 oz</t>
  </si>
  <si>
    <t>2.2 oz</t>
  </si>
  <si>
    <t>1.7 oz</t>
  </si>
  <si>
    <r>
      <t>methoxyfenozide:</t>
    </r>
    <r>
      <rPr>
        <sz val="12"/>
        <color rgb="FF008000"/>
        <rFont val="Calibri"/>
        <family val="2"/>
        <scheme val="minor"/>
      </rPr>
      <t xml:space="preserve"> 22.6%</t>
    </r>
  </si>
  <si>
    <r>
      <t>methoxyfenozide:</t>
    </r>
    <r>
      <rPr>
        <sz val="12"/>
        <color rgb="FF008000"/>
        <rFont val="Calibri"/>
        <family val="2"/>
        <scheme val="minor"/>
      </rPr>
      <t xml:space="preserve"> 2.0 lb/gal</t>
    </r>
  </si>
  <si>
    <r>
      <t>picloram:</t>
    </r>
    <r>
      <rPr>
        <sz val="12"/>
        <color rgb="FF008000"/>
        <rFont val="Calibri"/>
        <family val="2"/>
        <scheme val="minor"/>
      </rPr>
      <t xml:space="preserve"> 14.44%</t>
    </r>
  </si>
  <si>
    <r>
      <t>2,4-D:</t>
    </r>
    <r>
      <rPr>
        <sz val="12"/>
        <color rgb="FF008000"/>
        <rFont val="Calibri"/>
        <family val="2"/>
        <scheme val="minor"/>
      </rPr>
      <t xml:space="preserve"> 43.62%</t>
    </r>
  </si>
  <si>
    <r>
      <t>picloram:</t>
    </r>
    <r>
      <rPr>
        <sz val="12"/>
        <color rgb="FF008000"/>
        <rFont val="Calibri"/>
        <family val="2"/>
        <scheme val="minor"/>
      </rPr>
      <t xml:space="preserve"> 0.81 lb/gal</t>
    </r>
  </si>
  <si>
    <r>
      <t>2,4-D:</t>
    </r>
    <r>
      <rPr>
        <sz val="12"/>
        <color rgb="FF008000"/>
        <rFont val="Calibri"/>
        <family val="2"/>
        <scheme val="minor"/>
      </rPr>
      <t xml:space="preserve"> 3 lb/gal</t>
    </r>
  </si>
  <si>
    <t>0.67 pt</t>
  </si>
  <si>
    <t>5 pt</t>
  </si>
  <si>
    <r>
      <t>pendimethalin:</t>
    </r>
    <r>
      <rPr>
        <sz val="12"/>
        <color rgb="FF008000"/>
        <rFont val="Calibri"/>
        <family val="2"/>
        <scheme val="minor"/>
      </rPr>
      <t xml:space="preserve"> 38.7%</t>
    </r>
  </si>
  <si>
    <r>
      <t>pendimethalin:</t>
    </r>
    <r>
      <rPr>
        <sz val="12"/>
        <color rgb="FF008000"/>
        <rFont val="Calibri"/>
        <family val="2"/>
        <scheme val="minor"/>
      </rPr>
      <t xml:space="preserve"> 3.8 lb/gal</t>
    </r>
  </si>
  <si>
    <t>1.1 pt</t>
  </si>
  <si>
    <t>pendimethalin</t>
  </si>
  <si>
    <t>(pre-emergement only)</t>
  </si>
  <si>
    <t>anthranilic diamide</t>
  </si>
  <si>
    <t>Chemical Family</t>
  </si>
  <si>
    <t>carbamates</t>
  </si>
  <si>
    <t>organphophates</t>
  </si>
  <si>
    <t>pyrethroid</t>
  </si>
  <si>
    <t>spinosyns</t>
  </si>
  <si>
    <t>benzoylureas</t>
  </si>
  <si>
    <t>diacylhydrazines</t>
  </si>
  <si>
    <t>10 oz</t>
  </si>
  <si>
    <t>Copyright © 2019 The Texas A&amp;M System</t>
  </si>
  <si>
    <t>The herbicide spreadsheet contains 11 columns. Below is a description of what can be found in each column.</t>
  </si>
  <si>
    <t xml:space="preserve"> Active Ingredient</t>
  </si>
  <si>
    <t xml:space="preserve"> Active Ingredient, lbs/ac</t>
  </si>
  <si>
    <r>
      <rPr>
        <u/>
        <sz val="12"/>
        <color theme="1"/>
        <rFont val="Calibri (Body)_x0000_"/>
      </rPr>
      <t>Active Ingredient (Column H) &amp; Active Ingredient, lbs/ac (Column I)</t>
    </r>
    <r>
      <rPr>
        <sz val="12"/>
        <color theme="1"/>
        <rFont val="Calibri"/>
        <family val="2"/>
        <scheme val="minor"/>
      </rPr>
      <t>: these columns show one of the active ingredients in the herbicide and the lbs of active ingredient applied per acre at various rates of application</t>
    </r>
  </si>
  <si>
    <r>
      <rPr>
        <u/>
        <sz val="12"/>
        <color theme="1"/>
        <rFont val="Calibri (Body)_x0000_"/>
      </rPr>
      <t>Active Ingredient (Column J) &amp; Active Ingredient, lbs/ac (Column K)</t>
    </r>
    <r>
      <rPr>
        <sz val="12"/>
        <color theme="1"/>
        <rFont val="Calibri"/>
        <family val="2"/>
        <scheme val="minor"/>
      </rPr>
      <t>: these columns show one of the active ingredients in the herbicide and the lbs of active ingredient applied per acre at various rates of application</t>
    </r>
  </si>
  <si>
    <t>GlyStar® Original</t>
  </si>
  <si>
    <t>Velpar® L</t>
  </si>
  <si>
    <t>Outrider®</t>
  </si>
  <si>
    <t>Cimarron® Plus</t>
  </si>
  <si>
    <t>Cimarron® X-tra</t>
  </si>
  <si>
    <t>Cimarron® Max</t>
  </si>
  <si>
    <t>Pastora®</t>
  </si>
  <si>
    <r>
      <t>Prowl® H</t>
    </r>
    <r>
      <rPr>
        <vertAlign val="subscript"/>
        <sz val="12"/>
        <color theme="1"/>
        <rFont val="Calibri (Body)"/>
      </rPr>
      <t>2</t>
    </r>
    <r>
      <rPr>
        <sz val="12"/>
        <color theme="1"/>
        <rFont val="Calibri"/>
        <family val="2"/>
        <scheme val="minor"/>
      </rPr>
      <t>O</t>
    </r>
  </si>
  <si>
    <t>Milestone®</t>
  </si>
  <si>
    <t>PasturAll® HL</t>
  </si>
  <si>
    <t>GrazonNext® HL</t>
  </si>
  <si>
    <t>Chaparral™</t>
  </si>
  <si>
    <t>Sendero™</t>
  </si>
  <si>
    <t>Vista® XRT</t>
  </si>
  <si>
    <t>Tordon® 22K</t>
  </si>
  <si>
    <t>Grazon® P+D</t>
  </si>
  <si>
    <t>Graslan™ L</t>
  </si>
  <si>
    <t>Surmount®</t>
  </si>
  <si>
    <t>Remedy® Ultra</t>
  </si>
  <si>
    <t>Crossbow®</t>
  </si>
  <si>
    <t>PastureGard® HL</t>
  </si>
  <si>
    <t>Weedmaster®</t>
  </si>
  <si>
    <t>WEEDestroy® AM-40</t>
  </si>
  <si>
    <t>AgriSOLUTIONS™ 2,4-D Amine 4</t>
  </si>
  <si>
    <t>(numerous products available)</t>
  </si>
  <si>
    <r>
      <t>metsulfuron methyl: 60</t>
    </r>
    <r>
      <rPr>
        <sz val="12"/>
        <color rgb="FF008000"/>
        <rFont val="Calibri"/>
        <family val="2"/>
        <scheme val="minor"/>
      </rPr>
      <t>%</t>
    </r>
  </si>
  <si>
    <t>CleanSlate®</t>
  </si>
  <si>
    <r>
      <t xml:space="preserve">clopyralid: </t>
    </r>
    <r>
      <rPr>
        <sz val="12"/>
        <color rgb="FF008000"/>
        <rFont val="Calibri"/>
        <family val="2"/>
        <scheme val="minor"/>
      </rPr>
      <t>40.90%</t>
    </r>
  </si>
  <si>
    <r>
      <t>clopyralid: 3</t>
    </r>
    <r>
      <rPr>
        <sz val="12"/>
        <color rgb="FF008000"/>
        <rFont val="Calibri"/>
        <family val="2"/>
        <scheme val="minor"/>
      </rPr>
      <t xml:space="preserve"> lb/gal</t>
    </r>
  </si>
  <si>
    <t>0.33 pt</t>
  </si>
  <si>
    <t>1.33 pt</t>
  </si>
  <si>
    <t>(other brands available)</t>
  </si>
  <si>
    <t>MSM 60 DF</t>
  </si>
  <si>
    <t>CDMS Website for Herbicide Labels</t>
  </si>
  <si>
    <t xml:space="preserve">Products often used for control of certain grass species; may also have control on some broadleaf and brush species. </t>
  </si>
  <si>
    <r>
      <rPr>
        <u/>
        <sz val="12"/>
        <rFont val="Calibri"/>
        <family val="2"/>
        <scheme val="minor"/>
      </rPr>
      <t>Product Name (Column A)</t>
    </r>
    <r>
      <rPr>
        <sz val="12"/>
        <rFont val="Calibri"/>
        <family val="2"/>
        <scheme val="minor"/>
      </rPr>
      <t>: this column contains the product name; products highlighted in the same color have a common activie ingredient; products are generally arranged alphabetically by active ingredient; products often used to target grassy weeds can be found toward the bottom of the list</t>
    </r>
  </si>
  <si>
    <t>2019 Herbicide Cost Per Acre Spreadsheet for Pastures and Hayfields</t>
  </si>
  <si>
    <t>Click on the tab at the bottom to access the Herbicide Cost Per Acre Spreadsheet</t>
  </si>
  <si>
    <r>
      <rPr>
        <b/>
        <sz val="12"/>
        <color rgb="FF00B050"/>
        <rFont val="Calibri"/>
        <family val="2"/>
        <scheme val="minor"/>
      </rPr>
      <t>Comments:</t>
    </r>
    <r>
      <rPr>
        <sz val="12"/>
        <color rgb="FF00B050"/>
        <rFont val="Calibri"/>
        <family val="2"/>
        <scheme val="minor"/>
      </rPr>
      <t xml:space="preserve"> Herbicide cost per acre should not be the only factor in choosing a product. In addition to cost, the following factors should also be considered: weeds controlled, </t>
    </r>
    <r>
      <rPr>
        <u/>
        <sz val="12"/>
        <color rgb="FF00B050"/>
        <rFont val="Calibri"/>
        <family val="2"/>
        <scheme val="minor"/>
      </rPr>
      <t>label use restrictions</t>
    </r>
    <r>
      <rPr>
        <sz val="12"/>
        <color rgb="FF00B050"/>
        <rFont val="Calibri"/>
        <family val="2"/>
        <scheme val="minor"/>
      </rPr>
      <t xml:space="preserve">, grazing and harvest restrictions, residual control,  potential impacts on other crops that have been or will be planted in the future (e.g. legumes), and enviromnental impact. </t>
    </r>
  </si>
  <si>
    <t xml:space="preserve">Most herbicide labels can be found on the CDMS website (click link above). In the search bar, type in the brand name of the product you are looking for and hit enter. At the bottom of the page click the box with the product you are looking for and a list of labels will appear. Click on the appropriate link to view that label. </t>
  </si>
  <si>
    <t>Freelexx™</t>
  </si>
  <si>
    <r>
      <t xml:space="preserve">2,4-D </t>
    </r>
    <r>
      <rPr>
        <sz val="12"/>
        <color rgb="FFFF0000"/>
        <rFont val="Calibri"/>
        <family val="2"/>
        <scheme val="minor"/>
      </rPr>
      <t>choline salt</t>
    </r>
    <r>
      <rPr>
        <sz val="12"/>
        <color theme="1"/>
        <rFont val="Calibri"/>
        <family val="2"/>
        <scheme val="minor"/>
      </rPr>
      <t xml:space="preserve">: </t>
    </r>
    <r>
      <rPr>
        <sz val="12"/>
        <color rgb="FF00B050"/>
        <rFont val="Calibri (Body)_x0000_"/>
      </rPr>
      <t>56.30%</t>
    </r>
  </si>
  <si>
    <t>2019 Armyworm and Grasshopper Insecticide Cost Per Acre Spreadsheet</t>
  </si>
  <si>
    <t>CDMS Website for Insecticide Labels</t>
  </si>
  <si>
    <t xml:space="preserve">Most insecticide labels can be found on the CDMS website (click link above). In the search bar, type in the brand name of the product you are looking for and hit enter. At the bottom of the page click the box with the product you are looking for and a list of labels will appear. Click on the appropriate link to view that label. </t>
  </si>
  <si>
    <t>Mode of Action Classification, Group</t>
  </si>
  <si>
    <t>Sevin® XLR Plus</t>
  </si>
  <si>
    <t>Malathion 57 EC</t>
  </si>
  <si>
    <t>Baythroid® XL</t>
  </si>
  <si>
    <t>Tombstone™</t>
  </si>
  <si>
    <t>Tombstone™ HeLios</t>
  </si>
  <si>
    <t>Karate® with Zeon Technology™</t>
  </si>
  <si>
    <t>Mustang® Maxx</t>
  </si>
  <si>
    <t>Besiege®</t>
  </si>
  <si>
    <t>Blackhawk®</t>
  </si>
  <si>
    <t>Dimilin® 2L</t>
  </si>
  <si>
    <t>Intrepid® 2F</t>
  </si>
  <si>
    <t>Prevathon™</t>
  </si>
  <si>
    <t>Coragen™</t>
  </si>
  <si>
    <t>multiple products                        (examples include Lambda-Cy™, Grizzly® Z, Kendo®, etc.)</t>
  </si>
  <si>
    <t>3.00 oz</t>
  </si>
  <si>
    <t>1.60 oz</t>
  </si>
  <si>
    <r>
      <rPr>
        <u/>
        <sz val="12"/>
        <rFont val="Calibri"/>
        <family val="2"/>
        <scheme val="minor"/>
      </rPr>
      <t>Group (Column D)</t>
    </r>
    <r>
      <rPr>
        <sz val="12"/>
        <rFont val="Calibri"/>
        <family val="2"/>
        <scheme val="minor"/>
      </rPr>
      <t>: this column contains the mode of action classification (group number) for each active ingredient</t>
    </r>
  </si>
  <si>
    <r>
      <rPr>
        <u/>
        <sz val="12"/>
        <rFont val="Calibri"/>
        <family val="2"/>
        <scheme val="minor"/>
      </rPr>
      <t>Pricing Unit (Column H)</t>
    </r>
    <r>
      <rPr>
        <sz val="12"/>
        <rFont val="Calibri"/>
        <family val="2"/>
        <scheme val="minor"/>
      </rPr>
      <t xml:space="preserve">: this column indicates the volumetric unit on which prices are entered for each product </t>
    </r>
  </si>
  <si>
    <r>
      <rPr>
        <u/>
        <sz val="12"/>
        <color rgb="FF0000FF"/>
        <rFont val="Calibri"/>
        <family val="2"/>
        <scheme val="minor"/>
      </rPr>
      <t>Price per Unit (Column I)</t>
    </r>
    <r>
      <rPr>
        <sz val="12"/>
        <color rgb="FF0000FF"/>
        <rFont val="Calibri"/>
        <family val="2"/>
        <scheme val="minor"/>
      </rPr>
      <t xml:space="preserve">: this is the only column in which data should be entered and as a reminder it is the only column with blue text; </t>
    </r>
    <r>
      <rPr>
        <b/>
        <sz val="12"/>
        <color rgb="FF0000FF"/>
        <rFont val="Calibri"/>
        <family val="2"/>
        <scheme val="minor"/>
      </rPr>
      <t>enter the appropriate unit price for each product you are interested in</t>
    </r>
    <r>
      <rPr>
        <sz val="12"/>
        <color rgb="FF0000FF"/>
        <rFont val="Calibri"/>
        <family val="2"/>
        <scheme val="minor"/>
      </rPr>
      <t xml:space="preserve">; some of the time prices will be quoted to you as price per gallon or price per ounce and you can enter that value directly in column G; other times the price may be quoted per container and you will need to calculate the price for the appropriate pricing unit [for example: if a 2.5 gallon jug of insecticide costs $86, then the price per gallon would be $34.40 (i.e. $86/2.5 gallons = $34.40 per gallon) so you would enter $34.40 in column G] </t>
    </r>
  </si>
  <si>
    <r>
      <rPr>
        <u/>
        <sz val="12"/>
        <color theme="1"/>
        <rFont val="Calibri"/>
        <family val="2"/>
        <scheme val="minor"/>
      </rPr>
      <t>Application Rates, per acre (Column J)</t>
    </r>
    <r>
      <rPr>
        <sz val="12"/>
        <color theme="1"/>
        <rFont val="Calibri"/>
        <family val="2"/>
        <scheme val="minor"/>
      </rPr>
      <t>: this column lists several of the labeled application rates for each insecticide; check labels for specific rates</t>
    </r>
  </si>
  <si>
    <r>
      <rPr>
        <u/>
        <sz val="12"/>
        <color theme="1"/>
        <rFont val="Calibri"/>
        <family val="2"/>
        <scheme val="minor"/>
      </rPr>
      <t>Cost per acre, $ (Column K)</t>
    </r>
    <r>
      <rPr>
        <sz val="12"/>
        <color theme="1"/>
        <rFont val="Calibri"/>
        <family val="2"/>
        <scheme val="minor"/>
      </rPr>
      <t>: this column shows the insecticide cost per acre for the corresponding application rate</t>
    </r>
  </si>
  <si>
    <t>The spreadsheet contains 11 columns. Below is a description of what can be found in each column.</t>
  </si>
  <si>
    <r>
      <rPr>
        <u/>
        <sz val="12"/>
        <rFont val="Calibri"/>
        <family val="2"/>
        <scheme val="minor"/>
      </rPr>
      <t>Group (Column E)</t>
    </r>
    <r>
      <rPr>
        <sz val="12"/>
        <rFont val="Calibri"/>
        <family val="2"/>
        <scheme val="minor"/>
      </rPr>
      <t>: this column contains the chemical family for each active ingredient</t>
    </r>
  </si>
  <si>
    <r>
      <rPr>
        <u/>
        <sz val="12"/>
        <rFont val="Calibri"/>
        <family val="2"/>
        <scheme val="minor"/>
      </rPr>
      <t>Labeled for Grasshoppers (Column F) or Labeled for Armyworms (Column G)</t>
    </r>
    <r>
      <rPr>
        <sz val="12"/>
        <rFont val="Calibri"/>
        <family val="2"/>
        <scheme val="minor"/>
      </rPr>
      <t>: these columns indicate if the product is labeled for grasshoppers or armyworms; check labels to determine labeling for specific growth stages and application rates</t>
    </r>
  </si>
  <si>
    <r>
      <rPr>
        <b/>
        <sz val="12"/>
        <color rgb="FF00B050"/>
        <rFont val="Calibri"/>
        <family val="2"/>
        <scheme val="minor"/>
      </rPr>
      <t>Comments:</t>
    </r>
    <r>
      <rPr>
        <sz val="12"/>
        <color rgb="FF00B050"/>
        <rFont val="Calibri"/>
        <family val="2"/>
        <scheme val="minor"/>
      </rPr>
      <t xml:space="preserve"> Insecticide cost per acre should not be the only factor in choosing a product. In addition to cost, the following factors should also be considered: insects controlled, </t>
    </r>
    <r>
      <rPr>
        <u/>
        <sz val="12"/>
        <color rgb="FF00B050"/>
        <rFont val="Calibri"/>
        <family val="2"/>
        <scheme val="minor"/>
      </rPr>
      <t>label use restrictions</t>
    </r>
    <r>
      <rPr>
        <sz val="12"/>
        <color rgb="FF00B050"/>
        <rFont val="Calibri"/>
        <family val="2"/>
        <scheme val="minor"/>
      </rPr>
      <t>, grazing and harvest restrictions, residual control, and environmental impact.</t>
    </r>
  </si>
  <si>
    <t>1.00 oz</t>
  </si>
  <si>
    <t>1.50 oz</t>
  </si>
  <si>
    <t>2.00 oz</t>
  </si>
  <si>
    <t>0.30 oz</t>
  </si>
  <si>
    <t>0.50 oz</t>
  </si>
  <si>
    <t>1.00 pt</t>
  </si>
  <si>
    <t>no</t>
  </si>
  <si>
    <t>1.02 oz</t>
  </si>
  <si>
    <t>1.54 oz</t>
  </si>
  <si>
    <t>Declare®</t>
  </si>
  <si>
    <r>
      <t xml:space="preserve">gamma-cyhalothrin: </t>
    </r>
    <r>
      <rPr>
        <sz val="12"/>
        <color rgb="FF008000"/>
        <rFont val="Calibri (Body)_x0000_"/>
      </rPr>
      <t>14.4%</t>
    </r>
  </si>
  <si>
    <r>
      <t xml:space="preserve">gamma-cyhalothrin: </t>
    </r>
    <r>
      <rPr>
        <sz val="12"/>
        <color rgb="FF008000"/>
        <rFont val="Calibri (Body)_x0000_"/>
      </rPr>
      <t>1.25 lb/gal</t>
    </r>
  </si>
  <si>
    <r>
      <t xml:space="preserve">chlorantraniliprole: </t>
    </r>
    <r>
      <rPr>
        <sz val="12"/>
        <color rgb="FF008000"/>
        <rFont val="Calibri"/>
        <family val="2"/>
        <scheme val="minor"/>
      </rPr>
      <t>9.26%</t>
    </r>
  </si>
  <si>
    <r>
      <t xml:space="preserve">chlorantraniliprole: </t>
    </r>
    <r>
      <rPr>
        <sz val="12"/>
        <color rgb="FF008000"/>
        <rFont val="Calibri"/>
        <family val="2"/>
        <scheme val="minor"/>
      </rPr>
      <t>0.835 lb/gal</t>
    </r>
  </si>
  <si>
    <r>
      <t xml:space="preserve">lambda-cyhalothrin: </t>
    </r>
    <r>
      <rPr>
        <sz val="12"/>
        <color rgb="FF008000"/>
        <rFont val="Calibri"/>
        <family val="2"/>
        <scheme val="minor"/>
      </rPr>
      <t>4.63%</t>
    </r>
  </si>
  <si>
    <r>
      <t xml:space="preserve">lambda-cyhalothrin: </t>
    </r>
    <r>
      <rPr>
        <sz val="12"/>
        <color rgb="FF008000"/>
        <rFont val="Calibri"/>
        <family val="2"/>
        <scheme val="minor"/>
      </rPr>
      <t>0.417 lb/gal</t>
    </r>
  </si>
  <si>
    <r>
      <t xml:space="preserve">The information given herein is for eduational purposes only. Reference to commercial products or trade names is made with the understanding that no discrimination is intended and no endorsement by the Texas A&amp;M AgriLife Extension Service is implied. Product names are included solely to aid users in locating and identifying herbicides. Only a partial listing of available products is included and no discrimination is intended by the omission of a product. This spreadsheet is intended to serve only as a guide for determining herbicide cost per acre and is not an indicator of product effectiveness or appropriate use. </t>
    </r>
    <r>
      <rPr>
        <b/>
        <sz val="12"/>
        <color theme="1"/>
        <rFont val="Calibri"/>
        <family val="2"/>
        <scheme val="minor"/>
      </rPr>
      <t>Always read and follow label directions.</t>
    </r>
  </si>
  <si>
    <t>Authors: J.P. Banta and V. Corriher-Olson; publication #SCS-2019-03</t>
  </si>
  <si>
    <t>labeled for johnsongrass</t>
  </si>
  <si>
    <t>labeled for smutgrass</t>
  </si>
  <si>
    <t>labeled for sandbur</t>
  </si>
  <si>
    <t>Active Ingredient</t>
  </si>
  <si>
    <t>Activie Ingredient, lbs/ac</t>
  </si>
  <si>
    <t>carbaryl</t>
  </si>
  <si>
    <t>malathion</t>
  </si>
  <si>
    <t>beta-cyfluthrin</t>
  </si>
  <si>
    <t>cyfluthrin</t>
  </si>
  <si>
    <t>gamma-cyhalothrin</t>
  </si>
  <si>
    <t>lambda-cyhalothrin</t>
  </si>
  <si>
    <t>zeta-cypermethrin</t>
  </si>
  <si>
    <t>spinosad</t>
  </si>
  <si>
    <t>diflubenzuron</t>
  </si>
  <si>
    <t>methoxyfenozide</t>
  </si>
  <si>
    <t>chlorantraniliprole</t>
  </si>
  <si>
    <r>
      <t>diflubenzuron:</t>
    </r>
    <r>
      <rPr>
        <sz val="12"/>
        <color rgb="FF008000"/>
        <rFont val="Calibri"/>
        <family val="2"/>
        <scheme val="minor"/>
      </rPr>
      <t xml:space="preserve"> 2.0 lb/gal</t>
    </r>
  </si>
  <si>
    <r>
      <t xml:space="preserve">malathion: </t>
    </r>
    <r>
      <rPr>
        <sz val="12"/>
        <color rgb="FF008000"/>
        <rFont val="Calibri"/>
        <family val="2"/>
        <scheme val="minor"/>
      </rPr>
      <t>5.0 lb/gal</t>
    </r>
  </si>
  <si>
    <r>
      <rPr>
        <u/>
        <sz val="12"/>
        <color theme="1"/>
        <rFont val="Calibri (Body)_x0000_"/>
      </rPr>
      <t>Active Ingredient (Column L) &amp; Active Ingredient, lbs/ac (Column M)</t>
    </r>
    <r>
      <rPr>
        <sz val="12"/>
        <color theme="1"/>
        <rFont val="Calibri"/>
        <family val="2"/>
        <scheme val="minor"/>
      </rPr>
      <t>: these columns show one of the active ingredients in the insecticide and the lbs of active ingredient applied per acre at various rates of application</t>
    </r>
  </si>
  <si>
    <r>
      <rPr>
        <u/>
        <sz val="12"/>
        <color theme="1"/>
        <rFont val="Calibri (Body)_x0000_"/>
      </rPr>
      <t>Active Ingredient (Column N) &amp; Active Ingredient, lbs/ac (Column O)</t>
    </r>
    <r>
      <rPr>
        <sz val="12"/>
        <color theme="1"/>
        <rFont val="Calibri"/>
        <family val="2"/>
        <scheme val="minor"/>
      </rPr>
      <t>: these columns show one of the active ingredients in the insecticide and the lbs of active ingredient applied per acre at various rates of application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</si>
</sst>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0.000"/>
  </numFmts>
  <fonts count="26">
    <font>
      <sz val="12"/>
      <color theme="1"/>
      <name val="Calibri"/>
      <family val="2"/>
      <scheme val="minor"/>
    </font>
    <font>
      <b/>
      <sz val="12"/>
      <color theme="1"/>
      <name val="Calibri"/>
      <family val="2"/>
      <scheme val="minor"/>
    </font>
    <font>
      <sz val="12"/>
      <color rgb="FF008000"/>
      <name val="Calibri"/>
      <family val="2"/>
      <scheme val="minor"/>
    </font>
    <font>
      <sz val="12"/>
      <color rgb="FF0000FF"/>
      <name val="Calibri"/>
      <family val="2"/>
      <scheme val="minor"/>
    </font>
    <font>
      <u/>
      <sz val="12"/>
      <color theme="10"/>
      <name val="Calibri"/>
      <family val="2"/>
      <scheme val="minor"/>
    </font>
    <font>
      <u/>
      <sz val="12"/>
      <color theme="11"/>
      <name val="Calibri"/>
      <family val="2"/>
      <scheme val="minor"/>
    </font>
    <font>
      <sz val="12"/>
      <color rgb="FFFF0000"/>
      <name val="Calibri"/>
      <family val="2"/>
      <scheme val="minor"/>
    </font>
    <font>
      <sz val="8"/>
      <name val="Calibri"/>
      <family val="2"/>
      <scheme val="minor"/>
    </font>
    <font>
      <b/>
      <sz val="20"/>
      <color theme="1"/>
      <name val="Calibri"/>
      <family val="2"/>
      <scheme val="minor"/>
    </font>
    <font>
      <u/>
      <sz val="12"/>
      <color theme="1"/>
      <name val="Calibri"/>
      <family val="2"/>
      <scheme val="minor"/>
    </font>
    <font>
      <u/>
      <sz val="12"/>
      <name val="Calibri"/>
      <family val="2"/>
      <scheme val="minor"/>
    </font>
    <font>
      <u/>
      <sz val="12"/>
      <color rgb="FF0000FF"/>
      <name val="Calibri"/>
      <family val="2"/>
      <scheme val="minor"/>
    </font>
    <font>
      <b/>
      <sz val="12"/>
      <color rgb="FF0000FF"/>
      <name val="Calibri"/>
      <family val="2"/>
      <scheme val="minor"/>
    </font>
    <font>
      <sz val="12"/>
      <name val="Calibri"/>
      <family val="2"/>
      <scheme val="minor"/>
    </font>
    <font>
      <sz val="6"/>
      <color theme="1"/>
      <name val="Calibri"/>
      <family val="2"/>
      <scheme val="minor"/>
    </font>
    <font>
      <b/>
      <sz val="18"/>
      <color theme="1"/>
      <name val="Calibri"/>
      <family val="2"/>
      <scheme val="minor"/>
    </font>
    <font>
      <sz val="12"/>
      <color rgb="FF000000"/>
      <name val="Calibri"/>
      <family val="2"/>
      <scheme val="minor"/>
    </font>
    <font>
      <vertAlign val="subscript"/>
      <sz val="12"/>
      <color theme="1"/>
      <name val="Calibri (Body)"/>
    </font>
    <font>
      <u/>
      <sz val="12"/>
      <color theme="1"/>
      <name val="Calibri (Body)_x0000_"/>
    </font>
    <font>
      <b/>
      <sz val="12"/>
      <color rgb="FF00B050"/>
      <name val="Calibri"/>
      <family val="2"/>
      <scheme val="minor"/>
    </font>
    <font>
      <sz val="12"/>
      <color rgb="FF00B050"/>
      <name val="Calibri"/>
      <family val="2"/>
      <scheme val="minor"/>
    </font>
    <font>
      <u/>
      <sz val="12"/>
      <color rgb="FF00B050"/>
      <name val="Calibri"/>
      <family val="2"/>
      <scheme val="minor"/>
    </font>
    <font>
      <sz val="12"/>
      <color rgb="FF00B050"/>
      <name val="Calibri (Body)_x0000_"/>
    </font>
    <font>
      <b/>
      <sz val="14"/>
      <color theme="1"/>
      <name val="Calibri"/>
      <family val="2"/>
      <scheme val="minor"/>
    </font>
    <font>
      <sz val="14"/>
      <color theme="1"/>
      <name val="Calibri"/>
      <family val="2"/>
      <scheme val="minor"/>
    </font>
    <font>
      <sz val="12"/>
      <color rgb="FF008000"/>
      <name val="Calibri (Body)_x0000_"/>
    </font>
  </fonts>
  <fills count="7">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3" tint="0.79998168889431442"/>
        <bgColor indexed="64"/>
      </patternFill>
    </fill>
  </fills>
  <borders count="16">
    <border>
      <left/>
      <right/>
      <top/>
      <bottom/>
      <diagonal/>
    </border>
    <border>
      <left/>
      <right/>
      <top/>
      <bottom style="thick">
        <color rgb="FF0000FF"/>
      </bottom>
      <diagonal/>
    </border>
    <border>
      <left/>
      <right/>
      <top style="thick">
        <color rgb="FF0000FF"/>
      </top>
      <bottom/>
      <diagonal/>
    </border>
    <border>
      <left/>
      <right style="thick">
        <color rgb="FF0000FF"/>
      </right>
      <top style="thick">
        <color rgb="FF0000FF"/>
      </top>
      <bottom/>
      <diagonal/>
    </border>
    <border>
      <left/>
      <right style="thick">
        <color rgb="FF0000FF"/>
      </right>
      <top/>
      <bottom/>
      <diagonal/>
    </border>
    <border>
      <left/>
      <right style="thick">
        <color rgb="FF0000FF"/>
      </right>
      <top/>
      <bottom style="thick">
        <color rgb="FF0000FF"/>
      </bottom>
      <diagonal/>
    </border>
    <border>
      <left/>
      <right/>
      <top style="medium">
        <color auto="1"/>
      </top>
      <bottom/>
      <diagonal/>
    </border>
    <border>
      <left style="thick">
        <color rgb="FF0000FF"/>
      </left>
      <right/>
      <top/>
      <bottom/>
      <diagonal/>
    </border>
    <border>
      <left style="thick">
        <color rgb="FF0000FF"/>
      </left>
      <right/>
      <top/>
      <bottom style="thick">
        <color rgb="FF0000FF"/>
      </bottom>
      <diagonal/>
    </border>
    <border>
      <left style="thick">
        <color rgb="FF0000FF"/>
      </left>
      <right/>
      <top style="thick">
        <color rgb="FF0000FF"/>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s>
  <cellStyleXfs count="45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cellStyleXfs>
  <cellXfs count="238">
    <xf numFmtId="0" fontId="0" fillId="0" borderId="0" xfId="0"/>
    <xf numFmtId="0" fontId="0" fillId="0" borderId="0" xfId="0" applyAlignment="1">
      <alignment horizontal="center"/>
    </xf>
    <xf numFmtId="0" fontId="1" fillId="0" borderId="0" xfId="0" applyFont="1" applyAlignment="1">
      <alignment wrapText="1"/>
    </xf>
    <xf numFmtId="0" fontId="0" fillId="0" borderId="0" xfId="0" applyFill="1"/>
    <xf numFmtId="0" fontId="0" fillId="0" borderId="0"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164" fontId="0" fillId="0" borderId="3" xfId="0" applyNumberFormat="1" applyBorder="1" applyAlignment="1">
      <alignment horizontal="center"/>
    </xf>
    <xf numFmtId="164" fontId="0" fillId="0" borderId="4" xfId="0" applyNumberFormat="1" applyBorder="1" applyAlignment="1">
      <alignment horizontal="center"/>
    </xf>
    <xf numFmtId="164" fontId="0" fillId="0" borderId="5" xfId="0" applyNumberFormat="1" applyBorder="1" applyAlignment="1">
      <alignment horizontal="center"/>
    </xf>
    <xf numFmtId="0" fontId="0" fillId="0" borderId="2" xfId="0" applyFill="1" applyBorder="1" applyAlignment="1">
      <alignment horizontal="center"/>
    </xf>
    <xf numFmtId="164" fontId="0" fillId="0" borderId="3" xfId="0" applyNumberFormat="1" applyFill="1" applyBorder="1" applyAlignment="1">
      <alignment horizontal="center"/>
    </xf>
    <xf numFmtId="0" fontId="0" fillId="0" borderId="0" xfId="0" applyFill="1" applyBorder="1" applyAlignment="1">
      <alignment horizontal="center"/>
    </xf>
    <xf numFmtId="164" fontId="0" fillId="0" borderId="4" xfId="0" applyNumberFormat="1" applyFill="1" applyBorder="1" applyAlignment="1">
      <alignment horizontal="center"/>
    </xf>
    <xf numFmtId="0" fontId="0" fillId="0" borderId="1" xfId="0" applyFill="1" applyBorder="1" applyAlignment="1">
      <alignment horizontal="center"/>
    </xf>
    <xf numFmtId="164" fontId="0" fillId="0" borderId="5" xfId="0" applyNumberFormat="1" applyFill="1" applyBorder="1" applyAlignment="1">
      <alignment horizontal="center"/>
    </xf>
    <xf numFmtId="0" fontId="0" fillId="0" borderId="7" xfId="0" applyBorder="1"/>
    <xf numFmtId="0" fontId="0" fillId="0" borderId="9" xfId="0" applyBorder="1"/>
    <xf numFmtId="0" fontId="0" fillId="0" borderId="8" xfId="0" applyBorder="1"/>
    <xf numFmtId="0" fontId="0" fillId="0" borderId="9" xfId="0" applyFill="1" applyBorder="1"/>
    <xf numFmtId="0" fontId="0" fillId="0" borderId="7" xfId="0" applyFill="1" applyBorder="1"/>
    <xf numFmtId="0" fontId="0" fillId="0" borderId="8" xfId="0" applyFill="1" applyBorder="1"/>
    <xf numFmtId="0" fontId="1" fillId="0" borderId="10" xfId="0" applyFont="1" applyBorder="1" applyAlignment="1">
      <alignment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1" xfId="0" applyFont="1" applyBorder="1" applyAlignment="1">
      <alignment horizontal="left" wrapText="1"/>
    </xf>
    <xf numFmtId="0" fontId="0" fillId="0" borderId="0" xfId="0"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0" fillId="0" borderId="2" xfId="0" applyFill="1" applyBorder="1" applyAlignment="1">
      <alignment horizontal="left"/>
    </xf>
    <xf numFmtId="0" fontId="0" fillId="0" borderId="0" xfId="0" applyFill="1" applyBorder="1" applyAlignment="1">
      <alignment horizontal="left"/>
    </xf>
    <xf numFmtId="0" fontId="0" fillId="0" borderId="1" xfId="0" applyFill="1" applyBorder="1" applyAlignment="1">
      <alignment horizontal="left"/>
    </xf>
    <xf numFmtId="0" fontId="0" fillId="0" borderId="0" xfId="0" applyAlignment="1">
      <alignment horizontal="left"/>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3" fillId="0" borderId="0" xfId="0" applyFont="1" applyAlignment="1">
      <alignment vertical="center" wrapText="1"/>
    </xf>
    <xf numFmtId="0" fontId="13" fillId="0" borderId="0" xfId="0" applyFont="1" applyAlignment="1">
      <alignment horizontal="left" vertical="center" wrapText="1"/>
    </xf>
    <xf numFmtId="164" fontId="3" fillId="0" borderId="6" xfId="0" applyNumberFormat="1" applyFont="1" applyBorder="1" applyAlignment="1" applyProtection="1">
      <alignment horizontal="center"/>
      <protection locked="0"/>
    </xf>
    <xf numFmtId="0" fontId="1" fillId="0" borderId="11" xfId="0" applyFont="1" applyBorder="1" applyAlignment="1" applyProtection="1">
      <alignment horizontal="center" wrapText="1"/>
    </xf>
    <xf numFmtId="0" fontId="0" fillId="0" borderId="0" xfId="0" applyBorder="1" applyAlignment="1" applyProtection="1">
      <alignment horizontal="center"/>
    </xf>
    <xf numFmtId="0" fontId="0" fillId="0" borderId="1" xfId="0" applyBorder="1" applyAlignment="1" applyProtection="1">
      <alignment horizontal="center"/>
    </xf>
    <xf numFmtId="0" fontId="0" fillId="0" borderId="0" xfId="0" applyFill="1" applyBorder="1" applyAlignment="1" applyProtection="1">
      <alignment horizontal="center"/>
    </xf>
    <xf numFmtId="0" fontId="0" fillId="0" borderId="1" xfId="0" applyFill="1" applyBorder="1" applyAlignment="1" applyProtection="1">
      <alignment horizontal="center"/>
    </xf>
    <xf numFmtId="0" fontId="0" fillId="0" borderId="0" xfId="0" applyAlignment="1" applyProtection="1">
      <alignment horizontal="center"/>
    </xf>
    <xf numFmtId="164" fontId="3" fillId="0" borderId="0" xfId="0" applyNumberFormat="1" applyFont="1" applyBorder="1" applyAlignment="1" applyProtection="1">
      <alignment horizontal="center"/>
      <protection locked="0"/>
    </xf>
    <xf numFmtId="0" fontId="14" fillId="0" borderId="0" xfId="0" applyFont="1" applyAlignment="1">
      <alignment vertical="center"/>
    </xf>
    <xf numFmtId="0" fontId="1" fillId="0" borderId="0" xfId="0" applyFont="1" applyAlignment="1">
      <alignment vertical="center"/>
    </xf>
    <xf numFmtId="0" fontId="0" fillId="0" borderId="7" xfId="0" applyBorder="1" applyAlignment="1">
      <alignment horizontal="center"/>
    </xf>
    <xf numFmtId="165" fontId="0" fillId="0" borderId="0" xfId="0" applyNumberFormat="1" applyBorder="1" applyAlignment="1">
      <alignment horizontal="center"/>
    </xf>
    <xf numFmtId="0" fontId="0" fillId="0" borderId="8" xfId="0" applyBorder="1" applyAlignment="1">
      <alignment horizontal="center"/>
    </xf>
    <xf numFmtId="165" fontId="0" fillId="0" borderId="1" xfId="0" applyNumberFormat="1" applyBorder="1" applyAlignment="1">
      <alignment horizontal="center"/>
    </xf>
    <xf numFmtId="0" fontId="0" fillId="0" borderId="9" xfId="0" applyBorder="1" applyAlignment="1">
      <alignment horizontal="center"/>
    </xf>
    <xf numFmtId="165" fontId="0" fillId="0" borderId="2" xfId="0" applyNumberFormat="1" applyBorder="1" applyAlignment="1">
      <alignment horizontal="center"/>
    </xf>
    <xf numFmtId="0" fontId="0" fillId="0" borderId="4" xfId="0" applyBorder="1" applyAlignment="1">
      <alignment horizontal="center"/>
    </xf>
    <xf numFmtId="165" fontId="0" fillId="0" borderId="2" xfId="0" applyNumberFormat="1" applyFill="1" applyBorder="1" applyAlignment="1">
      <alignment horizontal="center"/>
    </xf>
    <xf numFmtId="165" fontId="0" fillId="0" borderId="0" xfId="0" applyNumberFormat="1" applyFill="1" applyBorder="1" applyAlignment="1">
      <alignment horizontal="center"/>
    </xf>
    <xf numFmtId="165" fontId="0" fillId="0" borderId="1" xfId="0" applyNumberFormat="1" applyFill="1" applyBorder="1" applyAlignment="1">
      <alignment horizontal="center"/>
    </xf>
    <xf numFmtId="165" fontId="0" fillId="0" borderId="3" xfId="0" applyNumberFormat="1" applyBorder="1" applyAlignment="1">
      <alignment horizontal="center"/>
    </xf>
    <xf numFmtId="165" fontId="0" fillId="0" borderId="4" xfId="0" applyNumberFormat="1" applyBorder="1" applyAlignment="1">
      <alignment horizontal="center"/>
    </xf>
    <xf numFmtId="165" fontId="0" fillId="0" borderId="5" xfId="0" applyNumberFormat="1"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9" xfId="0" applyFill="1" applyBorder="1" applyAlignment="1">
      <alignment horizontal="center"/>
    </xf>
    <xf numFmtId="0" fontId="0" fillId="0" borderId="7" xfId="0" applyFill="1" applyBorder="1" applyAlignment="1">
      <alignment horizontal="center"/>
    </xf>
    <xf numFmtId="0" fontId="0" fillId="0" borderId="8" xfId="0" applyFill="1" applyBorder="1" applyAlignment="1">
      <alignment horizontal="center"/>
    </xf>
    <xf numFmtId="164" fontId="3" fillId="0" borderId="2" xfId="0" applyNumberFormat="1" applyFont="1" applyBorder="1" applyAlignment="1" applyProtection="1">
      <alignment horizontal="center"/>
      <protection locked="0"/>
    </xf>
    <xf numFmtId="0" fontId="15" fillId="0" borderId="0" xfId="0" applyFont="1" applyAlignment="1">
      <alignment horizontal="center"/>
    </xf>
    <xf numFmtId="0" fontId="16" fillId="0" borderId="9" xfId="0" applyFont="1" applyBorder="1" applyAlignment="1">
      <alignment horizontal="center"/>
    </xf>
    <xf numFmtId="165" fontId="0" fillId="0" borderId="3" xfId="0" applyNumberFormat="1" applyFill="1" applyBorder="1" applyAlignment="1">
      <alignment horizontal="center"/>
    </xf>
    <xf numFmtId="165" fontId="0" fillId="0" borderId="4" xfId="0" applyNumberFormat="1" applyFill="1" applyBorder="1" applyAlignment="1">
      <alignment horizontal="center"/>
    </xf>
    <xf numFmtId="2" fontId="0" fillId="0" borderId="0" xfId="0" applyNumberFormat="1" applyAlignment="1">
      <alignment horizontal="center"/>
    </xf>
    <xf numFmtId="0" fontId="1" fillId="0" borderId="0" xfId="0" applyFont="1" applyAlignment="1">
      <alignment horizontal="center"/>
    </xf>
    <xf numFmtId="0" fontId="0" fillId="0" borderId="0" xfId="0" applyAlignment="1">
      <alignment horizontal="center"/>
    </xf>
    <xf numFmtId="164" fontId="3" fillId="0" borderId="6" xfId="0" applyNumberFormat="1" applyFont="1" applyFill="1" applyBorder="1" applyAlignment="1" applyProtection="1">
      <alignment horizontal="center"/>
      <protection locked="0"/>
    </xf>
    <xf numFmtId="0" fontId="16" fillId="0" borderId="2" xfId="0" applyFont="1" applyFill="1" applyBorder="1" applyAlignment="1">
      <alignment horizontal="center"/>
    </xf>
    <xf numFmtId="0" fontId="0" fillId="2" borderId="7" xfId="0" applyFill="1" applyBorder="1"/>
    <xf numFmtId="0" fontId="0" fillId="2" borderId="0" xfId="0" applyFill="1" applyBorder="1" applyAlignment="1">
      <alignment horizontal="left"/>
    </xf>
    <xf numFmtId="0" fontId="0" fillId="2" borderId="8" xfId="0" applyFont="1" applyFill="1" applyBorder="1"/>
    <xf numFmtId="0" fontId="0" fillId="2" borderId="1" xfId="0" applyFont="1" applyFill="1" applyBorder="1" applyAlignment="1">
      <alignment horizontal="left"/>
    </xf>
    <xf numFmtId="0" fontId="0" fillId="2" borderId="9" xfId="0" applyFill="1" applyBorder="1"/>
    <xf numFmtId="0" fontId="0" fillId="2" borderId="2" xfId="0" applyFill="1" applyBorder="1" applyAlignment="1">
      <alignment horizontal="left"/>
    </xf>
    <xf numFmtId="0" fontId="0" fillId="2" borderId="8" xfId="0" applyFill="1" applyBorder="1"/>
    <xf numFmtId="0" fontId="0" fillId="2" borderId="1" xfId="0" applyFill="1" applyBorder="1" applyAlignment="1">
      <alignment horizontal="left"/>
    </xf>
    <xf numFmtId="0" fontId="0" fillId="3" borderId="9" xfId="0" applyFill="1" applyBorder="1"/>
    <xf numFmtId="0" fontId="0" fillId="3" borderId="2" xfId="0" applyFill="1" applyBorder="1" applyAlignment="1">
      <alignment horizontal="left"/>
    </xf>
    <xf numFmtId="0" fontId="0" fillId="3" borderId="0" xfId="0" applyFill="1" applyBorder="1" applyAlignment="1">
      <alignment horizontal="left"/>
    </xf>
    <xf numFmtId="0" fontId="0" fillId="3" borderId="7" xfId="0" applyFill="1" applyBorder="1"/>
    <xf numFmtId="0" fontId="0" fillId="3" borderId="8" xfId="0" applyFill="1" applyBorder="1"/>
    <xf numFmtId="0" fontId="0" fillId="3" borderId="1" xfId="0" applyFill="1" applyBorder="1" applyAlignment="1">
      <alignment horizontal="left"/>
    </xf>
    <xf numFmtId="0" fontId="0" fillId="4" borderId="9" xfId="0" applyFill="1" applyBorder="1"/>
    <xf numFmtId="0" fontId="0" fillId="4" borderId="2" xfId="0" applyFill="1" applyBorder="1" applyAlignment="1">
      <alignment horizontal="left"/>
    </xf>
    <xf numFmtId="0" fontId="0" fillId="4" borderId="7" xfId="0" applyFill="1" applyBorder="1"/>
    <xf numFmtId="0" fontId="0" fillId="4" borderId="0" xfId="0" applyFill="1" applyBorder="1" applyAlignment="1">
      <alignment horizontal="left"/>
    </xf>
    <xf numFmtId="0" fontId="0" fillId="4" borderId="8" xfId="0" applyFill="1" applyBorder="1"/>
    <xf numFmtId="0" fontId="0" fillId="4" borderId="1" xfId="0" applyFill="1" applyBorder="1" applyAlignment="1">
      <alignment horizontal="left"/>
    </xf>
    <xf numFmtId="0" fontId="0" fillId="5" borderId="9" xfId="0" applyFill="1" applyBorder="1"/>
    <xf numFmtId="0" fontId="0" fillId="5" borderId="2" xfId="0" applyFill="1" applyBorder="1" applyAlignment="1">
      <alignment horizontal="left"/>
    </xf>
    <xf numFmtId="0" fontId="0" fillId="5" borderId="7" xfId="0" applyFill="1" applyBorder="1"/>
    <xf numFmtId="0" fontId="0" fillId="5" borderId="0" xfId="0" applyFill="1" applyBorder="1" applyAlignment="1">
      <alignment horizontal="left"/>
    </xf>
    <xf numFmtId="0" fontId="0" fillId="5" borderId="8" xfId="0" applyFill="1" applyBorder="1"/>
    <xf numFmtId="0" fontId="0" fillId="5" borderId="1" xfId="0" applyFill="1" applyBorder="1" applyAlignment="1">
      <alignment horizontal="left"/>
    </xf>
    <xf numFmtId="0" fontId="0" fillId="0" borderId="0" xfId="0" applyAlignment="1">
      <alignment horizontal="center"/>
    </xf>
    <xf numFmtId="0" fontId="0" fillId="3" borderId="2" xfId="0" applyFill="1" applyBorder="1" applyAlignment="1">
      <alignment horizontal="center"/>
    </xf>
    <xf numFmtId="164" fontId="3" fillId="3" borderId="6" xfId="0" applyNumberFormat="1" applyFont="1" applyFill="1" applyBorder="1" applyAlignment="1" applyProtection="1">
      <alignment horizontal="center"/>
      <protection locked="0"/>
    </xf>
    <xf numFmtId="164" fontId="0" fillId="3" borderId="3" xfId="0" applyNumberFormat="1" applyFill="1" applyBorder="1" applyAlignment="1">
      <alignment horizontal="center"/>
    </xf>
    <xf numFmtId="165" fontId="0" fillId="3" borderId="2" xfId="0" applyNumberFormat="1" applyFill="1" applyBorder="1" applyAlignment="1">
      <alignment horizontal="center"/>
    </xf>
    <xf numFmtId="0" fontId="0" fillId="3" borderId="0" xfId="0" applyFill="1" applyBorder="1" applyAlignment="1">
      <alignment horizontal="center"/>
    </xf>
    <xf numFmtId="165" fontId="0" fillId="3" borderId="3" xfId="0" applyNumberFormat="1" applyFill="1" applyBorder="1" applyAlignment="1">
      <alignment horizontal="center"/>
    </xf>
    <xf numFmtId="0" fontId="0" fillId="3" borderId="0" xfId="0" applyFill="1" applyBorder="1" applyAlignment="1" applyProtection="1">
      <alignment horizontal="center"/>
    </xf>
    <xf numFmtId="164" fontId="0" fillId="3" borderId="4" xfId="0" applyNumberFormat="1" applyFill="1" applyBorder="1" applyAlignment="1">
      <alignment horizontal="center"/>
    </xf>
    <xf numFmtId="0" fontId="0" fillId="3" borderId="7" xfId="0" applyFill="1" applyBorder="1" applyAlignment="1">
      <alignment horizontal="center"/>
    </xf>
    <xf numFmtId="165" fontId="0" fillId="3" borderId="0" xfId="0" applyNumberFormat="1" applyFill="1" applyBorder="1" applyAlignment="1">
      <alignment horizontal="center"/>
    </xf>
    <xf numFmtId="165" fontId="0" fillId="3" borderId="4" xfId="0" applyNumberFormat="1" applyFill="1" applyBorder="1" applyAlignment="1">
      <alignment horizontal="center"/>
    </xf>
    <xf numFmtId="0" fontId="0" fillId="3" borderId="1" xfId="0" applyFill="1" applyBorder="1" applyAlignment="1">
      <alignment horizontal="center"/>
    </xf>
    <xf numFmtId="0" fontId="0" fillId="3" borderId="1" xfId="0" applyFill="1" applyBorder="1" applyAlignment="1" applyProtection="1">
      <alignment horizontal="center"/>
    </xf>
    <xf numFmtId="164" fontId="0" fillId="3" borderId="5" xfId="0" applyNumberFormat="1" applyFill="1" applyBorder="1" applyAlignment="1">
      <alignment horizontal="center"/>
    </xf>
    <xf numFmtId="0" fontId="0" fillId="3" borderId="8" xfId="0" applyFill="1" applyBorder="1" applyAlignment="1">
      <alignment horizontal="center"/>
    </xf>
    <xf numFmtId="165" fontId="0" fillId="3" borderId="1" xfId="0" applyNumberFormat="1" applyFill="1" applyBorder="1" applyAlignment="1">
      <alignment horizontal="center"/>
    </xf>
    <xf numFmtId="165" fontId="0" fillId="3" borderId="5" xfId="0" applyNumberFormat="1" applyFill="1" applyBorder="1" applyAlignment="1">
      <alignment horizontal="center"/>
    </xf>
    <xf numFmtId="164" fontId="3" fillId="2" borderId="6" xfId="0" applyNumberFormat="1" applyFont="1" applyFill="1" applyBorder="1" applyAlignment="1" applyProtection="1">
      <alignment horizontal="center"/>
      <protection locked="0"/>
    </xf>
    <xf numFmtId="0" fontId="0" fillId="2" borderId="7" xfId="0" applyFill="1" applyBorder="1" applyAlignment="1">
      <alignment horizontal="center"/>
    </xf>
    <xf numFmtId="165" fontId="0" fillId="2" borderId="0" xfId="0" applyNumberFormat="1" applyFill="1" applyBorder="1" applyAlignment="1">
      <alignment horizontal="center"/>
    </xf>
    <xf numFmtId="0" fontId="0" fillId="2" borderId="0" xfId="0" applyFill="1" applyBorder="1" applyAlignment="1">
      <alignment horizontal="center"/>
    </xf>
    <xf numFmtId="165" fontId="0" fillId="2" borderId="3" xfId="0" applyNumberFormat="1" applyFill="1" applyBorder="1" applyAlignment="1">
      <alignment horizontal="center"/>
    </xf>
    <xf numFmtId="164" fontId="3" fillId="2" borderId="0" xfId="0" applyNumberFormat="1" applyFont="1" applyFill="1" applyBorder="1" applyAlignment="1" applyProtection="1">
      <alignment horizontal="center"/>
    </xf>
    <xf numFmtId="164" fontId="0" fillId="2" borderId="4" xfId="0" applyNumberFormat="1" applyFill="1" applyBorder="1" applyAlignment="1">
      <alignment horizontal="center"/>
    </xf>
    <xf numFmtId="0" fontId="0" fillId="2" borderId="4" xfId="0" applyFill="1" applyBorder="1" applyAlignment="1">
      <alignment horizontal="center"/>
    </xf>
    <xf numFmtId="0" fontId="0" fillId="2" borderId="1" xfId="0" applyFont="1" applyFill="1" applyBorder="1" applyAlignment="1">
      <alignment horizontal="center"/>
    </xf>
    <xf numFmtId="164" fontId="3" fillId="2" borderId="1" xfId="0" applyNumberFormat="1" applyFont="1" applyFill="1" applyBorder="1" applyAlignment="1" applyProtection="1">
      <alignment horizontal="center"/>
    </xf>
    <xf numFmtId="164" fontId="0" fillId="2" borderId="5" xfId="0" applyNumberFormat="1" applyFont="1" applyFill="1" applyBorder="1" applyAlignment="1">
      <alignment horizontal="center"/>
    </xf>
    <xf numFmtId="0" fontId="0" fillId="2" borderId="8" xfId="0" applyFill="1" applyBorder="1" applyAlignment="1">
      <alignment horizontal="center"/>
    </xf>
    <xf numFmtId="165" fontId="0" fillId="2" borderId="1" xfId="0" applyNumberFormat="1" applyFill="1" applyBorder="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164" fontId="0" fillId="2" borderId="3" xfId="0" applyNumberFormat="1" applyFill="1" applyBorder="1" applyAlignment="1">
      <alignment horizontal="center"/>
    </xf>
    <xf numFmtId="0" fontId="0" fillId="2" borderId="9" xfId="0" applyFill="1" applyBorder="1" applyAlignment="1">
      <alignment horizontal="center"/>
    </xf>
    <xf numFmtId="165" fontId="0" fillId="2" borderId="2" xfId="0" applyNumberFormat="1" applyFill="1" applyBorder="1" applyAlignment="1">
      <alignment horizontal="center"/>
    </xf>
    <xf numFmtId="0" fontId="0" fillId="2" borderId="0" xfId="0" applyFill="1" applyBorder="1" applyAlignment="1" applyProtection="1">
      <alignment horizontal="center"/>
    </xf>
    <xf numFmtId="165" fontId="0" fillId="2" borderId="4" xfId="0" applyNumberFormat="1" applyFill="1" applyBorder="1" applyAlignment="1">
      <alignment horizontal="center"/>
    </xf>
    <xf numFmtId="0" fontId="0" fillId="2" borderId="1" xfId="0" applyFill="1" applyBorder="1" applyAlignment="1" applyProtection="1">
      <alignment horizontal="center"/>
    </xf>
    <xf numFmtId="164" fontId="0" fillId="2" borderId="5" xfId="0" applyNumberFormat="1" applyFill="1" applyBorder="1" applyAlignment="1">
      <alignment horizontal="center"/>
    </xf>
    <xf numFmtId="0" fontId="0" fillId="2" borderId="0" xfId="0" applyFill="1" applyAlignment="1">
      <alignment horizontal="center"/>
    </xf>
    <xf numFmtId="165" fontId="0" fillId="2" borderId="5" xfId="0" applyNumberFormat="1" applyFill="1" applyBorder="1" applyAlignment="1">
      <alignment horizontal="center"/>
    </xf>
    <xf numFmtId="0" fontId="0" fillId="4" borderId="2" xfId="0" applyFill="1" applyBorder="1" applyAlignment="1">
      <alignment horizontal="center"/>
    </xf>
    <xf numFmtId="164" fontId="3" fillId="4" borderId="6" xfId="0" applyNumberFormat="1" applyFont="1" applyFill="1" applyBorder="1" applyAlignment="1" applyProtection="1">
      <alignment horizontal="center"/>
      <protection locked="0"/>
    </xf>
    <xf numFmtId="164" fontId="0" fillId="4" borderId="3" xfId="0" applyNumberFormat="1" applyFill="1" applyBorder="1" applyAlignment="1">
      <alignment horizontal="center"/>
    </xf>
    <xf numFmtId="165" fontId="0" fillId="4" borderId="2" xfId="0" applyNumberFormat="1" applyFill="1" applyBorder="1" applyAlignment="1">
      <alignment horizontal="center"/>
    </xf>
    <xf numFmtId="165" fontId="0" fillId="4" borderId="3" xfId="0" applyNumberFormat="1" applyFill="1" applyBorder="1" applyAlignment="1">
      <alignment horizontal="center"/>
    </xf>
    <xf numFmtId="0" fontId="0" fillId="4" borderId="0" xfId="0" applyFill="1" applyBorder="1" applyAlignment="1">
      <alignment horizontal="center"/>
    </xf>
    <xf numFmtId="0" fontId="0" fillId="4" borderId="0" xfId="0" applyFill="1" applyBorder="1" applyAlignment="1" applyProtection="1">
      <alignment horizontal="center"/>
    </xf>
    <xf numFmtId="164" fontId="0" fillId="4" borderId="4" xfId="0" applyNumberFormat="1" applyFill="1" applyBorder="1" applyAlignment="1">
      <alignment horizontal="center"/>
    </xf>
    <xf numFmtId="0" fontId="0" fillId="4" borderId="7" xfId="0" applyFill="1" applyBorder="1" applyAlignment="1">
      <alignment horizontal="center"/>
    </xf>
    <xf numFmtId="165" fontId="0" fillId="4" borderId="0" xfId="0" applyNumberFormat="1" applyFill="1" applyBorder="1" applyAlignment="1">
      <alignment horizontal="center"/>
    </xf>
    <xf numFmtId="165" fontId="0" fillId="4" borderId="4" xfId="0" applyNumberFormat="1" applyFill="1" applyBorder="1" applyAlignment="1">
      <alignment horizontal="center"/>
    </xf>
    <xf numFmtId="0" fontId="0" fillId="4" borderId="1" xfId="0" applyFill="1" applyBorder="1" applyAlignment="1">
      <alignment horizontal="center"/>
    </xf>
    <xf numFmtId="0" fontId="0" fillId="4" borderId="1" xfId="0" applyFill="1" applyBorder="1" applyAlignment="1" applyProtection="1">
      <alignment horizontal="center"/>
    </xf>
    <xf numFmtId="164" fontId="0" fillId="4" borderId="5" xfId="0" applyNumberFormat="1" applyFill="1" applyBorder="1" applyAlignment="1">
      <alignment horizontal="center"/>
    </xf>
    <xf numFmtId="0" fontId="0" fillId="4" borderId="8" xfId="0" applyFill="1" applyBorder="1" applyAlignment="1">
      <alignment horizontal="center"/>
    </xf>
    <xf numFmtId="165" fontId="0" fillId="4" borderId="1" xfId="0" applyNumberFormat="1" applyFill="1" applyBorder="1" applyAlignment="1">
      <alignment horizontal="center"/>
    </xf>
    <xf numFmtId="165" fontId="0" fillId="4" borderId="5" xfId="0" applyNumberFormat="1" applyFill="1" applyBorder="1" applyAlignment="1">
      <alignment horizontal="center"/>
    </xf>
    <xf numFmtId="0" fontId="16" fillId="4" borderId="2" xfId="0" applyFont="1" applyFill="1" applyBorder="1" applyAlignment="1">
      <alignment horizontal="center"/>
    </xf>
    <xf numFmtId="0" fontId="0" fillId="5" borderId="2" xfId="0" applyFill="1" applyBorder="1" applyAlignment="1">
      <alignment horizontal="center"/>
    </xf>
    <xf numFmtId="164" fontId="3" fillId="5" borderId="6" xfId="0" applyNumberFormat="1" applyFont="1" applyFill="1" applyBorder="1" applyAlignment="1" applyProtection="1">
      <alignment horizontal="center"/>
      <protection locked="0"/>
    </xf>
    <xf numFmtId="164" fontId="0" fillId="5" borderId="3" xfId="0" applyNumberFormat="1" applyFill="1" applyBorder="1" applyAlignment="1">
      <alignment horizontal="center"/>
    </xf>
    <xf numFmtId="165" fontId="0" fillId="5" borderId="2" xfId="0" applyNumberFormat="1" applyFill="1" applyBorder="1" applyAlignment="1">
      <alignment horizontal="center"/>
    </xf>
    <xf numFmtId="165" fontId="0" fillId="5" borderId="3" xfId="0" applyNumberFormat="1" applyFill="1" applyBorder="1" applyAlignment="1">
      <alignment horizontal="center"/>
    </xf>
    <xf numFmtId="0" fontId="0" fillId="5" borderId="0" xfId="0" applyFill="1" applyBorder="1" applyAlignment="1">
      <alignment horizontal="center"/>
    </xf>
    <xf numFmtId="0" fontId="0" fillId="5" borderId="0" xfId="0" applyFill="1" applyBorder="1" applyAlignment="1" applyProtection="1">
      <alignment horizontal="center"/>
    </xf>
    <xf numFmtId="164" fontId="0" fillId="5" borderId="4" xfId="0" applyNumberFormat="1" applyFill="1" applyBorder="1" applyAlignment="1">
      <alignment horizontal="center"/>
    </xf>
    <xf numFmtId="0" fontId="0" fillId="5" borderId="7" xfId="0" applyFill="1" applyBorder="1" applyAlignment="1">
      <alignment horizontal="center"/>
    </xf>
    <xf numFmtId="165" fontId="0" fillId="5" borderId="0" xfId="0" applyNumberFormat="1" applyFill="1" applyBorder="1" applyAlignment="1">
      <alignment horizontal="center"/>
    </xf>
    <xf numFmtId="165" fontId="0" fillId="5" borderId="4" xfId="0" applyNumberFormat="1" applyFill="1" applyBorder="1" applyAlignment="1">
      <alignment horizontal="center"/>
    </xf>
    <xf numFmtId="0" fontId="0" fillId="5" borderId="1" xfId="0" applyFill="1" applyBorder="1" applyAlignment="1">
      <alignment horizontal="center"/>
    </xf>
    <xf numFmtId="0" fontId="0" fillId="5" borderId="1" xfId="0" applyFill="1" applyBorder="1" applyAlignment="1" applyProtection="1">
      <alignment horizontal="center"/>
    </xf>
    <xf numFmtId="164" fontId="0" fillId="5" borderId="5" xfId="0" applyNumberFormat="1" applyFill="1" applyBorder="1" applyAlignment="1">
      <alignment horizontal="center"/>
    </xf>
    <xf numFmtId="0" fontId="0" fillId="5" borderId="8" xfId="0" applyFill="1" applyBorder="1" applyAlignment="1">
      <alignment horizontal="center"/>
    </xf>
    <xf numFmtId="165" fontId="0" fillId="5" borderId="1" xfId="0" applyNumberFormat="1" applyFill="1" applyBorder="1" applyAlignment="1">
      <alignment horizontal="center"/>
    </xf>
    <xf numFmtId="165" fontId="0" fillId="5" borderId="5" xfId="0" applyNumberFormat="1" applyFill="1" applyBorder="1" applyAlignment="1">
      <alignment horizontal="center"/>
    </xf>
    <xf numFmtId="164" fontId="3" fillId="3" borderId="2" xfId="0" applyNumberFormat="1" applyFont="1" applyFill="1" applyBorder="1" applyAlignment="1" applyProtection="1">
      <alignment horizontal="center"/>
      <protection locked="0"/>
    </xf>
    <xf numFmtId="164" fontId="3" fillId="3" borderId="0" xfId="0" applyNumberFormat="1" applyFont="1" applyFill="1" applyBorder="1" applyAlignment="1" applyProtection="1">
      <alignment horizontal="center"/>
    </xf>
    <xf numFmtId="0" fontId="0" fillId="3" borderId="8" xfId="0" applyFont="1" applyFill="1" applyBorder="1"/>
    <xf numFmtId="0" fontId="0" fillId="3" borderId="1" xfId="0" applyFont="1" applyFill="1" applyBorder="1" applyAlignment="1">
      <alignment horizontal="left"/>
    </xf>
    <xf numFmtId="0" fontId="0" fillId="3" borderId="1" xfId="0" applyFont="1" applyFill="1" applyBorder="1" applyAlignment="1">
      <alignment horizontal="center"/>
    </xf>
    <xf numFmtId="164" fontId="3" fillId="3" borderId="1" xfId="0" applyNumberFormat="1" applyFont="1" applyFill="1" applyBorder="1" applyAlignment="1" applyProtection="1">
      <alignment horizontal="center"/>
    </xf>
    <xf numFmtId="164" fontId="0" fillId="3" borderId="5" xfId="0" applyNumberFormat="1" applyFont="1" applyFill="1" applyBorder="1" applyAlignment="1">
      <alignment horizontal="center"/>
    </xf>
    <xf numFmtId="0" fontId="0" fillId="0" borderId="0" xfId="0" applyAlignment="1">
      <alignment horizontal="center"/>
    </xf>
    <xf numFmtId="0" fontId="19" fillId="0" borderId="0" xfId="0" applyFont="1" applyAlignment="1">
      <alignment vertical="center"/>
    </xf>
    <xf numFmtId="0" fontId="20" fillId="0" borderId="0" xfId="0" applyFont="1" applyAlignment="1">
      <alignment vertical="center" wrapText="1"/>
    </xf>
    <xf numFmtId="0" fontId="0" fillId="0" borderId="8" xfId="0" applyBorder="1" applyAlignment="1" applyProtection="1">
      <alignment horizontal="center"/>
    </xf>
    <xf numFmtId="2" fontId="0" fillId="3" borderId="0" xfId="0" applyNumberFormat="1" applyFill="1" applyBorder="1" applyAlignment="1">
      <alignment horizontal="center"/>
    </xf>
    <xf numFmtId="2" fontId="0" fillId="3" borderId="1" xfId="0" applyNumberFormat="1" applyFill="1" applyBorder="1" applyAlignment="1">
      <alignment horizontal="center"/>
    </xf>
    <xf numFmtId="0" fontId="16" fillId="0" borderId="2" xfId="0" applyFont="1" applyBorder="1" applyAlignment="1">
      <alignment horizontal="center"/>
    </xf>
    <xf numFmtId="0" fontId="11" fillId="0" borderId="0" xfId="455" applyFont="1" applyAlignment="1">
      <alignment vertical="center" wrapText="1"/>
    </xf>
    <xf numFmtId="0" fontId="1" fillId="0" borderId="13" xfId="0" applyFont="1" applyBorder="1" applyAlignment="1" applyProtection="1">
      <alignment horizontal="left" wrapText="1"/>
    </xf>
    <xf numFmtId="0" fontId="1" fillId="0" borderId="14" xfId="0" applyFont="1" applyBorder="1" applyAlignment="1" applyProtection="1">
      <alignment horizontal="left" wrapText="1"/>
    </xf>
    <xf numFmtId="0" fontId="1" fillId="0" borderId="14" xfId="0" applyFont="1" applyBorder="1" applyAlignment="1" applyProtection="1">
      <alignment horizontal="center" wrapText="1"/>
    </xf>
    <xf numFmtId="0" fontId="1" fillId="0" borderId="15" xfId="0" applyFont="1" applyBorder="1" applyAlignment="1">
      <alignment horizontal="center" wrapText="1"/>
    </xf>
    <xf numFmtId="0" fontId="1" fillId="0" borderId="3" xfId="0" applyFont="1" applyBorder="1" applyAlignment="1">
      <alignment horizontal="center" wrapText="1"/>
    </xf>
    <xf numFmtId="164" fontId="3" fillId="2" borderId="0" xfId="0" applyNumberFormat="1" applyFont="1" applyFill="1" applyBorder="1" applyAlignment="1" applyProtection="1">
      <alignment horizontal="center"/>
      <protection locked="0"/>
    </xf>
    <xf numFmtId="0" fontId="1" fillId="0" borderId="13" xfId="0" applyFont="1" applyBorder="1" applyAlignment="1" applyProtection="1">
      <alignment horizontal="center" wrapText="1"/>
    </xf>
    <xf numFmtId="0" fontId="0" fillId="6" borderId="9" xfId="0" applyFill="1" applyBorder="1"/>
    <xf numFmtId="0" fontId="0" fillId="6" borderId="2" xfId="0" applyFill="1" applyBorder="1" applyAlignment="1">
      <alignment horizontal="left"/>
    </xf>
    <xf numFmtId="0" fontId="0" fillId="6" borderId="2" xfId="0" applyFill="1" applyBorder="1" applyAlignment="1">
      <alignment horizontal="center"/>
    </xf>
    <xf numFmtId="164" fontId="3" fillId="6" borderId="2" xfId="0" applyNumberFormat="1" applyFont="1" applyFill="1" applyBorder="1" applyAlignment="1" applyProtection="1">
      <alignment horizontal="center"/>
      <protection locked="0"/>
    </xf>
    <xf numFmtId="164" fontId="0" fillId="6" borderId="3" xfId="0" applyNumberFormat="1" applyFill="1" applyBorder="1" applyAlignment="1">
      <alignment horizontal="center"/>
    </xf>
    <xf numFmtId="0" fontId="0" fillId="6" borderId="7" xfId="0" applyFill="1" applyBorder="1"/>
    <xf numFmtId="0" fontId="0" fillId="6" borderId="0" xfId="0" applyFill="1" applyBorder="1" applyAlignment="1">
      <alignment horizontal="left"/>
    </xf>
    <xf numFmtId="0" fontId="0" fillId="6" borderId="0" xfId="0" applyFill="1" applyBorder="1" applyAlignment="1">
      <alignment horizontal="center"/>
    </xf>
    <xf numFmtId="164" fontId="3" fillId="6" borderId="0" xfId="0" applyNumberFormat="1" applyFont="1" applyFill="1" applyBorder="1" applyAlignment="1" applyProtection="1">
      <alignment horizontal="center"/>
      <protection locked="0"/>
    </xf>
    <xf numFmtId="164" fontId="0" fillId="6" borderId="4" xfId="0" applyNumberFormat="1" applyFill="1" applyBorder="1" applyAlignment="1">
      <alignment horizontal="center"/>
    </xf>
    <xf numFmtId="0" fontId="0" fillId="6" borderId="8" xfId="0" applyFill="1" applyBorder="1"/>
    <xf numFmtId="0" fontId="0" fillId="6" borderId="1" xfId="0" applyFill="1" applyBorder="1" applyAlignment="1">
      <alignment horizontal="left"/>
    </xf>
    <xf numFmtId="0" fontId="0" fillId="6" borderId="1" xfId="0" applyFill="1" applyBorder="1" applyAlignment="1">
      <alignment horizontal="center"/>
    </xf>
    <xf numFmtId="0" fontId="0" fillId="6" borderId="1" xfId="0" applyFill="1" applyBorder="1" applyAlignment="1" applyProtection="1">
      <alignment horizontal="center"/>
    </xf>
    <xf numFmtId="164" fontId="0" fillId="6" borderId="5" xfId="0" applyNumberFormat="1" applyFill="1" applyBorder="1" applyAlignment="1">
      <alignment horizontal="center"/>
    </xf>
    <xf numFmtId="0" fontId="8" fillId="0" borderId="0" xfId="0" applyFont="1" applyFill="1" applyAlignment="1">
      <alignment horizontal="center"/>
    </xf>
    <xf numFmtId="0" fontId="13" fillId="0" borderId="0" xfId="0" applyFont="1" applyFill="1" applyAlignment="1">
      <alignment horizontal="left" vertical="center" wrapText="1"/>
    </xf>
    <xf numFmtId="0" fontId="0" fillId="0" borderId="0" xfId="0" applyFill="1" applyAlignment="1">
      <alignment vertical="center"/>
    </xf>
    <xf numFmtId="0" fontId="23" fillId="0" borderId="0" xfId="0" applyFont="1" applyFill="1"/>
    <xf numFmtId="0" fontId="24" fillId="0" borderId="0" xfId="0" applyFont="1" applyAlignment="1">
      <alignment horizontal="left"/>
    </xf>
    <xf numFmtId="0" fontId="24" fillId="0" borderId="0" xfId="0" applyFont="1" applyAlignment="1">
      <alignment horizontal="center"/>
    </xf>
    <xf numFmtId="0" fontId="24" fillId="0" borderId="1" xfId="0" applyFont="1" applyBorder="1" applyAlignment="1" applyProtection="1">
      <alignment horizontal="center"/>
    </xf>
    <xf numFmtId="0" fontId="0" fillId="3" borderId="0" xfId="0" applyFont="1" applyFill="1" applyBorder="1" applyAlignment="1">
      <alignment horizontal="center"/>
    </xf>
    <xf numFmtId="0" fontId="0" fillId="0" borderId="0" xfId="0" applyAlignment="1">
      <alignment horizontal="center"/>
    </xf>
    <xf numFmtId="8" fontId="3" fillId="3" borderId="0" xfId="0" applyNumberFormat="1" applyFont="1" applyFill="1" applyBorder="1" applyAlignment="1" applyProtection="1">
      <alignment horizontal="center"/>
      <protection locked="0"/>
    </xf>
    <xf numFmtId="0" fontId="6" fillId="0" borderId="7" xfId="0" applyFont="1" applyFill="1" applyBorder="1"/>
    <xf numFmtId="0" fontId="6" fillId="0" borderId="8" xfId="0" applyFont="1" applyFill="1" applyBorder="1"/>
    <xf numFmtId="2" fontId="0" fillId="0" borderId="3" xfId="0" applyNumberFormat="1" applyBorder="1" applyAlignment="1">
      <alignment horizontal="center"/>
    </xf>
    <xf numFmtId="2" fontId="0" fillId="0" borderId="4" xfId="0" applyNumberFormat="1" applyBorder="1" applyAlignment="1">
      <alignment horizontal="center"/>
    </xf>
    <xf numFmtId="2" fontId="0" fillId="0" borderId="5" xfId="0" applyNumberFormat="1" applyBorder="1" applyAlignment="1">
      <alignment horizontal="center"/>
    </xf>
    <xf numFmtId="165" fontId="0" fillId="6" borderId="3" xfId="0" applyNumberFormat="1" applyFill="1" applyBorder="1" applyAlignment="1">
      <alignment horizontal="center"/>
    </xf>
    <xf numFmtId="165" fontId="0" fillId="6" borderId="4" xfId="0" applyNumberFormat="1" applyFill="1" applyBorder="1" applyAlignment="1">
      <alignment horizontal="center"/>
    </xf>
    <xf numFmtId="165" fontId="0" fillId="6" borderId="5" xfId="0" applyNumberFormat="1" applyFill="1" applyBorder="1" applyAlignment="1">
      <alignment horizontal="center"/>
    </xf>
    <xf numFmtId="0" fontId="0" fillId="3" borderId="9" xfId="0" applyFill="1" applyBorder="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0" borderId="0" xfId="0" applyAlignment="1">
      <alignment horizontal="center"/>
    </xf>
  </cellXfs>
  <cellStyles count="4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cellStyle name="Normal" xfId="0" builtinId="0"/>
  </cellStyles>
  <dxfs count="0"/>
  <tableStyles count="0" defaultTableStyle="TableStyleMedium9" defaultPivotStyle="PivotStyleMedium4"/>
  <colors>
    <mruColors>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cdms.net/Label-Databas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hyperlink" Target="http://www.cdms.net/Label-Datab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6"/>
  <sheetViews>
    <sheetView topLeftCell="A16" zoomScaleNormal="100" zoomScalePageLayoutView="125" workbookViewId="0">
      <selection activeCell="A23" sqref="A23:A24"/>
    </sheetView>
  </sheetViews>
  <sheetFormatPr baseColWidth="10" defaultRowHeight="16"/>
  <cols>
    <col min="1" max="1" width="100" customWidth="1"/>
  </cols>
  <sheetData>
    <row r="1" spans="1:1" s="3" customFormat="1" ht="26">
      <c r="A1" s="216" t="s">
        <v>289</v>
      </c>
    </row>
    <row r="2" spans="1:1" s="34" customFormat="1">
      <c r="A2" s="34" t="s">
        <v>341</v>
      </c>
    </row>
    <row r="3" spans="1:1" s="34" customFormat="1">
      <c r="A3" s="34" t="s">
        <v>184</v>
      </c>
    </row>
    <row r="4" spans="1:1" s="34" customFormat="1">
      <c r="A4" s="34" t="s">
        <v>217</v>
      </c>
    </row>
    <row r="5" spans="1:1" s="34" customFormat="1" ht="16" customHeight="1">
      <c r="A5" s="34" t="s">
        <v>145</v>
      </c>
    </row>
    <row r="6" spans="1:1" s="34" customFormat="1">
      <c r="A6" s="34" t="s">
        <v>247</v>
      </c>
    </row>
    <row r="7" spans="1:1" s="34" customFormat="1">
      <c r="A7" s="46"/>
    </row>
    <row r="8" spans="1:1" s="34" customFormat="1" ht="112" customHeight="1">
      <c r="A8" s="35" t="s">
        <v>340</v>
      </c>
    </row>
    <row r="9" spans="1:1" s="46" customFormat="1" ht="25" customHeight="1">
      <c r="A9" s="193" t="s">
        <v>286</v>
      </c>
    </row>
    <row r="10" spans="1:1" s="34" customFormat="1" ht="59" customHeight="1">
      <c r="A10" s="35" t="s">
        <v>292</v>
      </c>
    </row>
    <row r="11" spans="1:1" s="34" customFormat="1">
      <c r="A11" s="46"/>
    </row>
    <row r="12" spans="1:1" s="46" customFormat="1" ht="16" customHeight="1">
      <c r="A12" s="47" t="s">
        <v>109</v>
      </c>
    </row>
    <row r="13" spans="1:1" s="34" customFormat="1" ht="16" customHeight="1">
      <c r="A13" s="34" t="s">
        <v>290</v>
      </c>
    </row>
    <row r="14" spans="1:1" s="34" customFormat="1" ht="16" customHeight="1">
      <c r="A14" s="46"/>
    </row>
    <row r="15" spans="1:1" s="34" customFormat="1" ht="20" customHeight="1">
      <c r="A15" s="34" t="s">
        <v>248</v>
      </c>
    </row>
    <row r="16" spans="1:1" s="218" customFormat="1" ht="56" customHeight="1">
      <c r="A16" s="217" t="s">
        <v>288</v>
      </c>
    </row>
    <row r="17" spans="1:1" s="34" customFormat="1" ht="38" customHeight="1">
      <c r="A17" s="37" t="s">
        <v>112</v>
      </c>
    </row>
    <row r="18" spans="1:1" s="34" customFormat="1" ht="37" customHeight="1">
      <c r="A18" s="37" t="s">
        <v>185</v>
      </c>
    </row>
    <row r="19" spans="1:1" s="34" customFormat="1" ht="21" customHeight="1">
      <c r="A19" s="37" t="s">
        <v>152</v>
      </c>
    </row>
    <row r="20" spans="1:1" s="34" customFormat="1" ht="102">
      <c r="A20" s="36" t="s">
        <v>114</v>
      </c>
    </row>
    <row r="21" spans="1:1" s="34" customFormat="1" ht="24" customHeight="1">
      <c r="A21" s="33" t="s">
        <v>116</v>
      </c>
    </row>
    <row r="22" spans="1:1" s="34" customFormat="1" ht="22" customHeight="1">
      <c r="A22" s="33" t="s">
        <v>115</v>
      </c>
    </row>
    <row r="23" spans="1:1" s="34" customFormat="1" ht="34">
      <c r="A23" s="33" t="s">
        <v>251</v>
      </c>
    </row>
    <row r="24" spans="1:1" s="34" customFormat="1" ht="34">
      <c r="A24" s="33" t="s">
        <v>252</v>
      </c>
    </row>
    <row r="25" spans="1:1">
      <c r="A25" s="187"/>
    </row>
    <row r="26" spans="1:1" ht="68">
      <c r="A26" s="188" t="s">
        <v>291</v>
      </c>
    </row>
  </sheetData>
  <sheetProtection algorithmName="SHA-512" hashValue="bnqowV4ZN5my3qouabV1RioxpKZ208CDtx8ooJGGaSqT7nlJrMeWJwZV76/hTWek2vqcJlmfBXcTMGYdQ4MwLQ==" saltValue="XCYN6yvabdxJu7kcr4XoBw==" spinCount="100000" sheet="1" objects="1" scenarios="1"/>
  <phoneticPr fontId="7" type="noConversion"/>
  <hyperlinks>
    <hyperlink ref="A9" r:id="rId1" display=" CDMS website " xr:uid="{E32E38CB-4FEB-354F-8D79-A3E9DD05CA0E}"/>
  </hyperlinks>
  <pageMargins left="0.5" right="0.5" top="1" bottom="0.5" header="0" footer="0.5"/>
  <pageSetup scale="85"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95A68-B092-3842-9215-067F967DF258}">
  <sheetPr>
    <pageSetUpPr fitToPage="1"/>
  </sheetPr>
  <dimension ref="A1:K107"/>
  <sheetViews>
    <sheetView zoomScale="120" zoomScaleNormal="120" zoomScalePageLayoutView="125" workbookViewId="0">
      <pane ySplit="1" topLeftCell="A79" activePane="bottomLeft" state="frozen"/>
      <selection activeCell="B1" sqref="B1"/>
      <selection pane="bottomLeft" activeCell="L28" sqref="L28"/>
    </sheetView>
  </sheetViews>
  <sheetFormatPr baseColWidth="10" defaultRowHeight="16"/>
  <cols>
    <col min="1" max="1" width="32" style="3" customWidth="1"/>
    <col min="2" max="2" width="30.1640625" style="32" bestFit="1" customWidth="1"/>
    <col min="3" max="3" width="28.1640625" style="32" bestFit="1" customWidth="1"/>
    <col min="4" max="4" width="13.83203125" style="73" bestFit="1" customWidth="1"/>
    <col min="5" max="5" width="12.6640625" style="44" bestFit="1" customWidth="1"/>
    <col min="6" max="6" width="15.83203125" style="73" bestFit="1" customWidth="1"/>
    <col min="7" max="7" width="14.1640625" style="73" bestFit="1" customWidth="1"/>
    <col min="8" max="8" width="17.33203125" style="73" bestFit="1" customWidth="1"/>
    <col min="9" max="9" width="17.1640625" style="73" customWidth="1"/>
    <col min="10" max="11" width="17.33203125" style="73" bestFit="1" customWidth="1"/>
  </cols>
  <sheetData>
    <row r="1" spans="1:11" s="2" customFormat="1" ht="50" customHeight="1" thickTop="1" thickBot="1">
      <c r="A1" s="194" t="s">
        <v>2</v>
      </c>
      <c r="B1" s="195" t="s">
        <v>1</v>
      </c>
      <c r="C1" s="195" t="s">
        <v>174</v>
      </c>
      <c r="D1" s="196" t="s">
        <v>73</v>
      </c>
      <c r="E1" s="196" t="s">
        <v>0</v>
      </c>
      <c r="F1" s="196" t="s">
        <v>4</v>
      </c>
      <c r="G1" s="197" t="s">
        <v>111</v>
      </c>
      <c r="H1" s="200" t="s">
        <v>249</v>
      </c>
      <c r="I1" s="196" t="s">
        <v>250</v>
      </c>
      <c r="J1" s="196" t="s">
        <v>249</v>
      </c>
      <c r="K1" s="198" t="s">
        <v>250</v>
      </c>
    </row>
    <row r="2" spans="1:11" ht="17" thickTop="1">
      <c r="A2" s="76" t="s">
        <v>261</v>
      </c>
      <c r="B2" s="77" t="s">
        <v>8</v>
      </c>
      <c r="C2" s="77" t="s">
        <v>15</v>
      </c>
      <c r="D2" s="123" t="s">
        <v>9</v>
      </c>
      <c r="E2" s="199">
        <v>0</v>
      </c>
      <c r="F2" s="123" t="s">
        <v>10</v>
      </c>
      <c r="G2" s="126">
        <f>$E$2/32*3</f>
        <v>0</v>
      </c>
      <c r="H2" s="121" t="s">
        <v>117</v>
      </c>
      <c r="I2" s="122">
        <f>2/128*3</f>
        <v>4.6875E-2</v>
      </c>
      <c r="J2" s="123" t="s">
        <v>120</v>
      </c>
      <c r="K2" s="124" t="s">
        <v>120</v>
      </c>
    </row>
    <row r="3" spans="1:11">
      <c r="A3" s="76"/>
      <c r="B3" s="77"/>
      <c r="C3" s="77"/>
      <c r="D3" s="123"/>
      <c r="E3" s="125"/>
      <c r="F3" s="123" t="s">
        <v>11</v>
      </c>
      <c r="G3" s="126">
        <f>$E$2/32*4</f>
        <v>0</v>
      </c>
      <c r="H3" s="121"/>
      <c r="I3" s="122">
        <f>2/128*4</f>
        <v>6.25E-2</v>
      </c>
      <c r="J3" s="123"/>
      <c r="K3" s="127" t="s">
        <v>120</v>
      </c>
    </row>
    <row r="4" spans="1:11" ht="16" customHeight="1">
      <c r="A4" s="76"/>
      <c r="B4" s="77"/>
      <c r="C4" s="77"/>
      <c r="D4" s="123"/>
      <c r="E4" s="125"/>
      <c r="F4" s="123" t="s">
        <v>12</v>
      </c>
      <c r="G4" s="126">
        <f>$E$2/32*5</f>
        <v>0</v>
      </c>
      <c r="H4" s="121"/>
      <c r="I4" s="122">
        <f>2/128*5</f>
        <v>7.8125E-2</v>
      </c>
      <c r="J4" s="123"/>
      <c r="K4" s="127" t="s">
        <v>120</v>
      </c>
    </row>
    <row r="5" spans="1:11">
      <c r="A5" s="76"/>
      <c r="B5" s="77"/>
      <c r="C5" s="77"/>
      <c r="D5" s="123"/>
      <c r="E5" s="125"/>
      <c r="F5" s="123" t="s">
        <v>13</v>
      </c>
      <c r="G5" s="126">
        <f>$E$2/32*6</f>
        <v>0</v>
      </c>
      <c r="H5" s="121"/>
      <c r="I5" s="122">
        <f>2/128*6</f>
        <v>9.375E-2</v>
      </c>
      <c r="J5" s="123"/>
      <c r="K5" s="127" t="s">
        <v>120</v>
      </c>
    </row>
    <row r="6" spans="1:11" ht="17" thickBot="1">
      <c r="A6" s="78"/>
      <c r="B6" s="79"/>
      <c r="C6" s="79"/>
      <c r="D6" s="128"/>
      <c r="E6" s="129"/>
      <c r="F6" s="128" t="s">
        <v>14</v>
      </c>
      <c r="G6" s="130">
        <f>$E$2/32*7</f>
        <v>0</v>
      </c>
      <c r="H6" s="131"/>
      <c r="I6" s="132">
        <f>2/128*7</f>
        <v>0.109375</v>
      </c>
      <c r="J6" s="133"/>
      <c r="K6" s="127" t="s">
        <v>120</v>
      </c>
    </row>
    <row r="7" spans="1:11" ht="17" thickTop="1">
      <c r="A7" s="80" t="s">
        <v>262</v>
      </c>
      <c r="B7" s="81" t="s">
        <v>64</v>
      </c>
      <c r="C7" s="81" t="s">
        <v>66</v>
      </c>
      <c r="D7" s="134" t="s">
        <v>3</v>
      </c>
      <c r="E7" s="120">
        <v>0</v>
      </c>
      <c r="F7" s="134" t="s">
        <v>37</v>
      </c>
      <c r="G7" s="135">
        <f>$E$7/8*1</f>
        <v>0</v>
      </c>
      <c r="H7" s="136" t="s">
        <v>117</v>
      </c>
      <c r="I7" s="137">
        <f>0.1/8*1</f>
        <v>1.2500000000000001E-2</v>
      </c>
      <c r="J7" s="134" t="s">
        <v>118</v>
      </c>
      <c r="K7" s="124">
        <f>3.54/8*1</f>
        <v>0.4425</v>
      </c>
    </row>
    <row r="8" spans="1:11">
      <c r="A8" s="76"/>
      <c r="B8" s="77" t="s">
        <v>65</v>
      </c>
      <c r="C8" s="77" t="s">
        <v>67</v>
      </c>
      <c r="D8" s="123"/>
      <c r="E8" s="138"/>
      <c r="F8" s="123" t="s">
        <v>5</v>
      </c>
      <c r="G8" s="126">
        <f>$E$7/8*1.5</f>
        <v>0</v>
      </c>
      <c r="H8" s="121"/>
      <c r="I8" s="122">
        <f>0.1/8*1.5</f>
        <v>1.8750000000000003E-2</v>
      </c>
      <c r="J8" s="123"/>
      <c r="K8" s="139">
        <f>3.54/8*1.5</f>
        <v>0.66375000000000006</v>
      </c>
    </row>
    <row r="9" spans="1:11" ht="17" thickBot="1">
      <c r="A9" s="82"/>
      <c r="B9" s="83"/>
      <c r="C9" s="83"/>
      <c r="D9" s="133"/>
      <c r="E9" s="140"/>
      <c r="F9" s="133" t="s">
        <v>68</v>
      </c>
      <c r="G9" s="141">
        <f>$E$7/8*4.5</f>
        <v>0</v>
      </c>
      <c r="H9" s="131"/>
      <c r="I9" s="132">
        <f>0.1/8*4.5</f>
        <v>5.6250000000000001E-2</v>
      </c>
      <c r="J9" s="133"/>
      <c r="K9" s="139">
        <f>3.54/8*4.5</f>
        <v>1.99125</v>
      </c>
    </row>
    <row r="10" spans="1:11" ht="17" thickTop="1">
      <c r="A10" s="80" t="s">
        <v>263</v>
      </c>
      <c r="B10" s="81" t="s">
        <v>58</v>
      </c>
      <c r="C10" s="81" t="s">
        <v>60</v>
      </c>
      <c r="D10" s="134" t="s">
        <v>3</v>
      </c>
      <c r="E10" s="120">
        <v>0</v>
      </c>
      <c r="F10" s="134" t="s">
        <v>62</v>
      </c>
      <c r="G10" s="135">
        <f>$E$10/8*1.2</f>
        <v>0</v>
      </c>
      <c r="H10" s="136" t="s">
        <v>117</v>
      </c>
      <c r="I10" s="137">
        <f>0.41/8*1.2</f>
        <v>6.1499999999999992E-2</v>
      </c>
      <c r="J10" s="142" t="s">
        <v>118</v>
      </c>
      <c r="K10" s="124">
        <f>3.33/8*1.2</f>
        <v>0.4995</v>
      </c>
    </row>
    <row r="11" spans="1:11">
      <c r="A11" s="76"/>
      <c r="B11" s="77" t="s">
        <v>59</v>
      </c>
      <c r="C11" s="77" t="s">
        <v>61</v>
      </c>
      <c r="D11" s="123"/>
      <c r="E11" s="138"/>
      <c r="F11" s="123" t="s">
        <v>5</v>
      </c>
      <c r="G11" s="126">
        <f>$E$10/8*1.5</f>
        <v>0</v>
      </c>
      <c r="H11" s="121"/>
      <c r="I11" s="122">
        <f>0.41/8*1.5</f>
        <v>7.6874999999999999E-2</v>
      </c>
      <c r="J11" s="142"/>
      <c r="K11" s="139">
        <f>3.33/8*1.5</f>
        <v>0.62437500000000001</v>
      </c>
    </row>
    <row r="12" spans="1:11" ht="17" thickBot="1">
      <c r="A12" s="82"/>
      <c r="B12" s="83"/>
      <c r="C12" s="83"/>
      <c r="D12" s="133"/>
      <c r="E12" s="140"/>
      <c r="F12" s="133" t="s">
        <v>63</v>
      </c>
      <c r="G12" s="141">
        <f>$E$10/8*2.1</f>
        <v>0</v>
      </c>
      <c r="H12" s="131"/>
      <c r="I12" s="132">
        <f>0.41/8*2.1</f>
        <v>0.107625</v>
      </c>
      <c r="J12" s="142"/>
      <c r="K12" s="143">
        <f>3.33/8*2.1</f>
        <v>0.87412500000000004</v>
      </c>
    </row>
    <row r="13" spans="1:11" ht="17" thickTop="1">
      <c r="A13" s="80" t="s">
        <v>264</v>
      </c>
      <c r="B13" s="81" t="s">
        <v>16</v>
      </c>
      <c r="C13" s="81" t="s">
        <v>18</v>
      </c>
      <c r="D13" s="134" t="s">
        <v>20</v>
      </c>
      <c r="E13" s="120">
        <v>0</v>
      </c>
      <c r="F13" s="142" t="s">
        <v>84</v>
      </c>
      <c r="G13" s="135">
        <f>$E$13*1</f>
        <v>0</v>
      </c>
      <c r="H13" s="136" t="s">
        <v>117</v>
      </c>
      <c r="I13" s="137">
        <f>0.525/16*1</f>
        <v>3.2812500000000001E-2</v>
      </c>
      <c r="J13" s="134" t="s">
        <v>119</v>
      </c>
      <c r="K13" s="124">
        <f>0.0945/16*1</f>
        <v>5.90625E-3</v>
      </c>
    </row>
    <row r="14" spans="1:11">
      <c r="A14" s="76"/>
      <c r="B14" s="77" t="s">
        <v>17</v>
      </c>
      <c r="C14" s="77" t="s">
        <v>19</v>
      </c>
      <c r="D14" s="123"/>
      <c r="E14" s="138"/>
      <c r="F14" s="123" t="s">
        <v>21</v>
      </c>
      <c r="G14" s="126">
        <f>$E$13*1.5</f>
        <v>0</v>
      </c>
      <c r="H14" s="121"/>
      <c r="I14" s="122">
        <f>0.525/16*1.5</f>
        <v>4.9218750000000006E-2</v>
      </c>
      <c r="J14" s="123"/>
      <c r="K14" s="139">
        <f>0.0945/16*1.5</f>
        <v>8.8593749999999992E-3</v>
      </c>
    </row>
    <row r="15" spans="1:11">
      <c r="A15" s="76"/>
      <c r="B15" s="77"/>
      <c r="C15" s="77"/>
      <c r="D15" s="123"/>
      <c r="E15" s="138"/>
      <c r="F15" s="123" t="s">
        <v>22</v>
      </c>
      <c r="G15" s="126">
        <f>$E$13*2</f>
        <v>0</v>
      </c>
      <c r="H15" s="121"/>
      <c r="I15" s="122">
        <f>0.525/16*2</f>
        <v>6.5625000000000003E-2</v>
      </c>
      <c r="J15" s="123"/>
      <c r="K15" s="139">
        <f>0.0945/16*2</f>
        <v>1.18125E-2</v>
      </c>
    </row>
    <row r="16" spans="1:11">
      <c r="A16" s="76"/>
      <c r="B16" s="77"/>
      <c r="C16" s="77"/>
      <c r="D16" s="123"/>
      <c r="E16" s="138"/>
      <c r="F16" s="123" t="s">
        <v>23</v>
      </c>
      <c r="G16" s="126">
        <f>$E$13*2.5</f>
        <v>0</v>
      </c>
      <c r="H16" s="121"/>
      <c r="I16" s="122">
        <f>0.525/16*2.5</f>
        <v>8.203125E-2</v>
      </c>
      <c r="J16" s="123"/>
      <c r="K16" s="139">
        <f>0.0945/16*2.5</f>
        <v>1.4765625000000001E-2</v>
      </c>
    </row>
    <row r="17" spans="1:11">
      <c r="A17" s="76"/>
      <c r="B17" s="77"/>
      <c r="C17" s="77"/>
      <c r="D17" s="123"/>
      <c r="E17" s="138"/>
      <c r="F17" s="123" t="s">
        <v>24</v>
      </c>
      <c r="G17" s="126">
        <f>$E$13*3</f>
        <v>0</v>
      </c>
      <c r="H17" s="121"/>
      <c r="I17" s="122">
        <f>0.525/16*3</f>
        <v>9.8437500000000011E-2</v>
      </c>
      <c r="J17" s="123"/>
      <c r="K17" s="139">
        <f>0.0945/16*3</f>
        <v>1.7718749999999998E-2</v>
      </c>
    </row>
    <row r="18" spans="1:11" ht="17" thickBot="1">
      <c r="A18" s="82"/>
      <c r="B18" s="83"/>
      <c r="C18" s="83"/>
      <c r="D18" s="133"/>
      <c r="E18" s="140"/>
      <c r="F18" s="133" t="s">
        <v>25</v>
      </c>
      <c r="G18" s="141">
        <f>$E$13*3.3</f>
        <v>0</v>
      </c>
      <c r="H18" s="131"/>
      <c r="I18" s="132">
        <f>0.525/16*3.3</f>
        <v>0.10828125</v>
      </c>
      <c r="J18" s="133"/>
      <c r="K18" s="143">
        <f>0.0945/16*3.3</f>
        <v>1.9490624999999998E-2</v>
      </c>
    </row>
    <row r="19" spans="1:11" ht="17" thickTop="1">
      <c r="A19" s="80" t="s">
        <v>265</v>
      </c>
      <c r="B19" s="81" t="s">
        <v>197</v>
      </c>
      <c r="C19" s="81" t="s">
        <v>199</v>
      </c>
      <c r="D19" s="123" t="s">
        <v>3</v>
      </c>
      <c r="E19" s="120">
        <v>0</v>
      </c>
      <c r="F19" s="123" t="s">
        <v>36</v>
      </c>
      <c r="G19" s="135">
        <f>$E$19/8*0.75</f>
        <v>0</v>
      </c>
      <c r="H19" s="136" t="s">
        <v>117</v>
      </c>
      <c r="I19" s="122">
        <f>0.5/8*0.75</f>
        <v>4.6875E-2</v>
      </c>
      <c r="J19" s="123" t="s">
        <v>203</v>
      </c>
      <c r="K19" s="139">
        <f>2.3/8*0.75</f>
        <v>0.21562499999999998</v>
      </c>
    </row>
    <row r="20" spans="1:11">
      <c r="A20" s="76"/>
      <c r="B20" s="77" t="s">
        <v>198</v>
      </c>
      <c r="C20" s="77" t="s">
        <v>200</v>
      </c>
      <c r="D20" s="123"/>
      <c r="E20" s="138"/>
      <c r="F20" s="123" t="s">
        <v>37</v>
      </c>
      <c r="G20" s="126">
        <f>$E$19/8*1</f>
        <v>0</v>
      </c>
      <c r="H20" s="121"/>
      <c r="I20" s="122">
        <f>0.5/8*1</f>
        <v>6.25E-2</v>
      </c>
      <c r="J20" s="123"/>
      <c r="K20" s="139">
        <f>2.3/8*1</f>
        <v>0.28749999999999998</v>
      </c>
    </row>
    <row r="21" spans="1:11">
      <c r="A21" s="76"/>
      <c r="B21" s="77"/>
      <c r="C21" s="77"/>
      <c r="D21" s="123"/>
      <c r="E21" s="138"/>
      <c r="F21" s="123" t="s">
        <v>201</v>
      </c>
      <c r="G21" s="126">
        <f>$E$19/8*1.25</f>
        <v>0</v>
      </c>
      <c r="H21" s="121"/>
      <c r="I21" s="122">
        <f>0.5/8*1.25</f>
        <v>7.8125E-2</v>
      </c>
      <c r="J21" s="123"/>
      <c r="K21" s="139">
        <f>2.3/8*1.25</f>
        <v>0.359375</v>
      </c>
    </row>
    <row r="22" spans="1:11">
      <c r="A22" s="76"/>
      <c r="B22" s="77"/>
      <c r="C22" s="77"/>
      <c r="D22" s="123"/>
      <c r="E22" s="138"/>
      <c r="F22" s="123" t="s">
        <v>5</v>
      </c>
      <c r="G22" s="126">
        <f>$E$19/8*1.5</f>
        <v>0</v>
      </c>
      <c r="H22" s="121"/>
      <c r="I22" s="122">
        <f>0.5/8*1.5</f>
        <v>9.375E-2</v>
      </c>
      <c r="J22" s="123"/>
      <c r="K22" s="139">
        <f>2.3/8*1.5</f>
        <v>0.43124999999999997</v>
      </c>
    </row>
    <row r="23" spans="1:11" ht="17" thickBot="1">
      <c r="A23" s="76"/>
      <c r="B23" s="77"/>
      <c r="C23" s="77"/>
      <c r="D23" s="123"/>
      <c r="E23" s="140"/>
      <c r="F23" s="123" t="s">
        <v>202</v>
      </c>
      <c r="G23" s="141">
        <f>$E$19/8*1.75</f>
        <v>0</v>
      </c>
      <c r="H23" s="121"/>
      <c r="I23" s="122">
        <f>0.5/8*1.75</f>
        <v>0.109375</v>
      </c>
      <c r="J23" s="123"/>
      <c r="K23" s="139">
        <f>2.3/8*1.75</f>
        <v>0.50312499999999993</v>
      </c>
    </row>
    <row r="24" spans="1:11" s="3" customFormat="1" ht="17" thickTop="1">
      <c r="A24" s="19" t="s">
        <v>279</v>
      </c>
      <c r="B24" s="29" t="s">
        <v>280</v>
      </c>
      <c r="C24" s="29" t="s">
        <v>281</v>
      </c>
      <c r="D24" s="10" t="s">
        <v>3</v>
      </c>
      <c r="E24" s="38">
        <v>0</v>
      </c>
      <c r="F24" s="192" t="s">
        <v>282</v>
      </c>
      <c r="G24" s="11">
        <f>$E$24/8*0.33</f>
        <v>0</v>
      </c>
      <c r="H24" s="63" t="s">
        <v>203</v>
      </c>
      <c r="I24" s="55">
        <f>3/8*0.33</f>
        <v>0.12375</v>
      </c>
      <c r="J24" s="10" t="s">
        <v>120</v>
      </c>
      <c r="K24" s="69" t="s">
        <v>120</v>
      </c>
    </row>
    <row r="25" spans="1:11">
      <c r="A25" s="20" t="s">
        <v>284</v>
      </c>
      <c r="B25" s="26"/>
      <c r="C25" s="26"/>
      <c r="D25" s="4"/>
      <c r="E25" s="40"/>
      <c r="F25" s="12" t="s">
        <v>329</v>
      </c>
      <c r="G25" s="8">
        <f>$E$24/8*1</f>
        <v>0</v>
      </c>
      <c r="H25" s="48"/>
      <c r="I25" s="49">
        <f>3/8*1</f>
        <v>0.375</v>
      </c>
      <c r="J25" s="4"/>
      <c r="K25" s="59" t="s">
        <v>120</v>
      </c>
    </row>
    <row r="26" spans="1:11" ht="17" thickBot="1">
      <c r="A26" s="21"/>
      <c r="B26" s="28"/>
      <c r="C26" s="28"/>
      <c r="D26" s="5"/>
      <c r="E26" s="41"/>
      <c r="F26" s="5" t="s">
        <v>283</v>
      </c>
      <c r="G26" s="15">
        <f>$E$24/8*1.33</f>
        <v>0</v>
      </c>
      <c r="H26" s="50"/>
      <c r="I26" s="51">
        <f>3/8*1.33</f>
        <v>0.49875000000000003</v>
      </c>
      <c r="J26" s="5"/>
      <c r="K26" s="60" t="s">
        <v>120</v>
      </c>
    </row>
    <row r="27" spans="1:11" s="3" customFormat="1" ht="17" thickTop="1">
      <c r="A27" s="19" t="s">
        <v>266</v>
      </c>
      <c r="B27" s="29" t="s">
        <v>54</v>
      </c>
      <c r="C27" s="29" t="s">
        <v>55</v>
      </c>
      <c r="D27" s="10" t="s">
        <v>3</v>
      </c>
      <c r="E27" s="38">
        <v>0</v>
      </c>
      <c r="F27" s="10" t="s">
        <v>13</v>
      </c>
      <c r="G27" s="11">
        <f>$E$27/128*6</f>
        <v>0</v>
      </c>
      <c r="H27" s="63" t="s">
        <v>166</v>
      </c>
      <c r="I27" s="55">
        <f>2.8/128*6</f>
        <v>0.13124999999999998</v>
      </c>
      <c r="J27" s="10" t="s">
        <v>120</v>
      </c>
      <c r="K27" s="69" t="s">
        <v>120</v>
      </c>
    </row>
    <row r="28" spans="1:11">
      <c r="A28" s="20"/>
      <c r="B28" s="26"/>
      <c r="C28" s="26"/>
      <c r="D28" s="4"/>
      <c r="E28" s="40"/>
      <c r="F28" s="4" t="s">
        <v>56</v>
      </c>
      <c r="G28" s="8">
        <f>$E$27/128*12</f>
        <v>0</v>
      </c>
      <c r="H28" s="48"/>
      <c r="I28" s="49">
        <f>2.8/128*12</f>
        <v>0.26249999999999996</v>
      </c>
      <c r="J28" s="4"/>
      <c r="K28" s="59" t="s">
        <v>120</v>
      </c>
    </row>
    <row r="29" spans="1:11" ht="17" thickBot="1">
      <c r="A29" s="21"/>
      <c r="B29" s="28"/>
      <c r="C29" s="28"/>
      <c r="D29" s="5"/>
      <c r="E29" s="41"/>
      <c r="F29" s="5" t="s">
        <v>57</v>
      </c>
      <c r="G29" s="9">
        <f>$E$27/128*22</f>
        <v>0</v>
      </c>
      <c r="H29" s="50"/>
      <c r="I29" s="51">
        <f>2.8/128*22</f>
        <v>0.48124999999999996</v>
      </c>
      <c r="J29" s="5"/>
      <c r="K29" s="60" t="s">
        <v>120</v>
      </c>
    </row>
    <row r="30" spans="1:11" ht="17" thickTop="1">
      <c r="A30" s="90" t="s">
        <v>267</v>
      </c>
      <c r="B30" s="91" t="s">
        <v>33</v>
      </c>
      <c r="C30" s="91" t="s">
        <v>34</v>
      </c>
      <c r="D30" s="144" t="s">
        <v>3</v>
      </c>
      <c r="E30" s="145">
        <v>0</v>
      </c>
      <c r="F30" s="144" t="s">
        <v>35</v>
      </c>
      <c r="G30" s="146">
        <f>$E$30/8*0.5</f>
        <v>0</v>
      </c>
      <c r="H30" s="144" t="s">
        <v>175</v>
      </c>
      <c r="I30" s="147">
        <f>2/8*0.5</f>
        <v>0.125</v>
      </c>
      <c r="J30" s="144" t="s">
        <v>120</v>
      </c>
      <c r="K30" s="148" t="s">
        <v>120</v>
      </c>
    </row>
    <row r="31" spans="1:11">
      <c r="A31" s="92" t="s">
        <v>113</v>
      </c>
      <c r="B31" s="93"/>
      <c r="C31" s="93"/>
      <c r="D31" s="149"/>
      <c r="E31" s="150"/>
      <c r="F31" s="149" t="s">
        <v>36</v>
      </c>
      <c r="G31" s="151">
        <f>$E$30/8*0.75</f>
        <v>0</v>
      </c>
      <c r="H31" s="152"/>
      <c r="I31" s="153">
        <f>2/8*0.75</f>
        <v>0.1875</v>
      </c>
      <c r="J31" s="149"/>
      <c r="K31" s="154" t="s">
        <v>120</v>
      </c>
    </row>
    <row r="32" spans="1:11">
      <c r="A32" s="92"/>
      <c r="B32" s="93"/>
      <c r="C32" s="93"/>
      <c r="D32" s="149"/>
      <c r="E32" s="150"/>
      <c r="F32" s="149" t="s">
        <v>37</v>
      </c>
      <c r="G32" s="151">
        <f>$E$30/8*1</f>
        <v>0</v>
      </c>
      <c r="H32" s="152"/>
      <c r="I32" s="153">
        <f>2/8*1</f>
        <v>0.25</v>
      </c>
      <c r="J32" s="149"/>
      <c r="K32" s="154" t="s">
        <v>120</v>
      </c>
    </row>
    <row r="33" spans="1:11">
      <c r="A33" s="92"/>
      <c r="B33" s="93"/>
      <c r="C33" s="93"/>
      <c r="D33" s="149"/>
      <c r="E33" s="150"/>
      <c r="F33" s="149" t="s">
        <v>6</v>
      </c>
      <c r="G33" s="151">
        <f>$E$30/8*2</f>
        <v>0</v>
      </c>
      <c r="H33" s="152"/>
      <c r="I33" s="153">
        <f>2/8*2</f>
        <v>0.5</v>
      </c>
      <c r="J33" s="149"/>
      <c r="K33" s="154" t="s">
        <v>120</v>
      </c>
    </row>
    <row r="34" spans="1:11" ht="17" thickBot="1">
      <c r="A34" s="94"/>
      <c r="B34" s="95"/>
      <c r="C34" s="95"/>
      <c r="D34" s="155"/>
      <c r="E34" s="156"/>
      <c r="F34" s="155" t="s">
        <v>38</v>
      </c>
      <c r="G34" s="157">
        <f>$E$30/8*4</f>
        <v>0</v>
      </c>
      <c r="H34" s="158"/>
      <c r="I34" s="159">
        <f>2/8*4</f>
        <v>1</v>
      </c>
      <c r="J34" s="155"/>
      <c r="K34" s="160" t="s">
        <v>120</v>
      </c>
    </row>
    <row r="35" spans="1:11" ht="17" thickTop="1">
      <c r="A35" s="90" t="s">
        <v>268</v>
      </c>
      <c r="B35" s="91" t="s">
        <v>26</v>
      </c>
      <c r="C35" s="91" t="s">
        <v>28</v>
      </c>
      <c r="D35" s="144" t="s">
        <v>3</v>
      </c>
      <c r="E35" s="145">
        <v>0</v>
      </c>
      <c r="F35" s="144" t="s">
        <v>30</v>
      </c>
      <c r="G35" s="146">
        <f>$E$35/8*1</f>
        <v>0</v>
      </c>
      <c r="H35" s="161" t="s">
        <v>175</v>
      </c>
      <c r="I35" s="147">
        <f>0.54/8*1</f>
        <v>6.7500000000000004E-2</v>
      </c>
      <c r="J35" s="149" t="s">
        <v>118</v>
      </c>
      <c r="K35" s="148">
        <f>2/8*1</f>
        <v>0.25</v>
      </c>
    </row>
    <row r="36" spans="1:11">
      <c r="A36" s="92" t="s">
        <v>113</v>
      </c>
      <c r="B36" s="93" t="s">
        <v>27</v>
      </c>
      <c r="C36" s="93" t="s">
        <v>29</v>
      </c>
      <c r="D36" s="149"/>
      <c r="E36" s="150"/>
      <c r="F36" s="149" t="s">
        <v>31</v>
      </c>
      <c r="G36" s="151">
        <f>$E$35/8*2</f>
        <v>0</v>
      </c>
      <c r="H36" s="152"/>
      <c r="I36" s="153">
        <f>0.54/8*2</f>
        <v>0.13500000000000001</v>
      </c>
      <c r="J36" s="149"/>
      <c r="K36" s="154">
        <f>2/8*2</f>
        <v>0.5</v>
      </c>
    </row>
    <row r="37" spans="1:11">
      <c r="A37" s="92"/>
      <c r="B37" s="93"/>
      <c r="C37" s="93"/>
      <c r="D37" s="149"/>
      <c r="E37" s="150"/>
      <c r="F37" s="149" t="s">
        <v>99</v>
      </c>
      <c r="G37" s="151">
        <f>$E$35/8*3</f>
        <v>0</v>
      </c>
      <c r="H37" s="152"/>
      <c r="I37" s="153">
        <f>0.54/8*3</f>
        <v>0.20250000000000001</v>
      </c>
      <c r="J37" s="149"/>
      <c r="K37" s="154">
        <f>2/8*3</f>
        <v>0.75</v>
      </c>
    </row>
    <row r="38" spans="1:11" ht="17" thickBot="1">
      <c r="A38" s="94"/>
      <c r="B38" s="95"/>
      <c r="C38" s="95"/>
      <c r="D38" s="155"/>
      <c r="E38" s="156"/>
      <c r="F38" s="155" t="s">
        <v>32</v>
      </c>
      <c r="G38" s="157">
        <f>$E$35/8*4</f>
        <v>0</v>
      </c>
      <c r="H38" s="158"/>
      <c r="I38" s="159">
        <f>0.54/8*4</f>
        <v>0.27</v>
      </c>
      <c r="J38" s="155"/>
      <c r="K38" s="154">
        <f>2/8*4</f>
        <v>1</v>
      </c>
    </row>
    <row r="39" spans="1:11" s="3" customFormat="1" ht="17" thickTop="1">
      <c r="A39" s="90" t="s">
        <v>269</v>
      </c>
      <c r="B39" s="91" t="s">
        <v>227</v>
      </c>
      <c r="C39" s="91" t="s">
        <v>229</v>
      </c>
      <c r="D39" s="144" t="s">
        <v>3</v>
      </c>
      <c r="E39" s="145">
        <v>0</v>
      </c>
      <c r="F39" s="144" t="s">
        <v>231</v>
      </c>
      <c r="G39" s="146">
        <f>$E$39/8*0.67</f>
        <v>0</v>
      </c>
      <c r="H39" s="161" t="s">
        <v>175</v>
      </c>
      <c r="I39" s="147">
        <f>0.81/8*0.67</f>
        <v>6.7837500000000009E-2</v>
      </c>
      <c r="J39" s="149" t="s">
        <v>118</v>
      </c>
      <c r="K39" s="148">
        <f>3/8*0.67</f>
        <v>0.25125000000000003</v>
      </c>
    </row>
    <row r="40" spans="1:11" s="3" customFormat="1">
      <c r="A40" s="92"/>
      <c r="B40" s="93" t="s">
        <v>228</v>
      </c>
      <c r="C40" s="93" t="s">
        <v>230</v>
      </c>
      <c r="D40" s="149"/>
      <c r="E40" s="150"/>
      <c r="F40" s="149" t="s">
        <v>30</v>
      </c>
      <c r="G40" s="151">
        <f>$E$39/8*1</f>
        <v>0</v>
      </c>
      <c r="H40" s="152"/>
      <c r="I40" s="153">
        <f>0.81/8*1</f>
        <v>0.10125000000000001</v>
      </c>
      <c r="J40" s="149"/>
      <c r="K40" s="154">
        <f>3/8*1</f>
        <v>0.375</v>
      </c>
    </row>
    <row r="41" spans="1:11" s="3" customFormat="1">
      <c r="A41" s="92"/>
      <c r="B41" s="93"/>
      <c r="C41" s="93"/>
      <c r="D41" s="149"/>
      <c r="E41" s="150"/>
      <c r="F41" s="149" t="s">
        <v>31</v>
      </c>
      <c r="G41" s="151">
        <f>$E$39/8*2</f>
        <v>0</v>
      </c>
      <c r="H41" s="152"/>
      <c r="I41" s="153">
        <f>0.81/8*2</f>
        <v>0.20250000000000001</v>
      </c>
      <c r="J41" s="149"/>
      <c r="K41" s="154">
        <f>3/8*2</f>
        <v>0.75</v>
      </c>
    </row>
    <row r="42" spans="1:11" s="3" customFormat="1" ht="17" thickBot="1">
      <c r="A42" s="94"/>
      <c r="B42" s="95"/>
      <c r="C42" s="95"/>
      <c r="D42" s="155"/>
      <c r="E42" s="156"/>
      <c r="F42" s="155" t="s">
        <v>232</v>
      </c>
      <c r="G42" s="157">
        <f>$E$39/8*5</f>
        <v>0</v>
      </c>
      <c r="H42" s="158"/>
      <c r="I42" s="159">
        <f>0.81/8*5</f>
        <v>0.50625000000000009</v>
      </c>
      <c r="J42" s="155"/>
      <c r="K42" s="154">
        <f>3/8*5</f>
        <v>1.875</v>
      </c>
    </row>
    <row r="43" spans="1:11" ht="17" thickTop="1">
      <c r="A43" s="90" t="s">
        <v>270</v>
      </c>
      <c r="B43" s="91" t="s">
        <v>52</v>
      </c>
      <c r="C43" s="91" t="s">
        <v>49</v>
      </c>
      <c r="D43" s="144" t="s">
        <v>3</v>
      </c>
      <c r="E43" s="145">
        <v>0</v>
      </c>
      <c r="F43" s="144" t="s">
        <v>5</v>
      </c>
      <c r="G43" s="146">
        <f>$E$43/8*1.5</f>
        <v>0</v>
      </c>
      <c r="H43" s="161" t="s">
        <v>175</v>
      </c>
      <c r="I43" s="147">
        <f>0.67/8*1.5</f>
        <v>0.12562500000000001</v>
      </c>
      <c r="J43" s="149" t="s">
        <v>166</v>
      </c>
      <c r="K43" s="148">
        <f>0.67/8*1.5</f>
        <v>0.12562500000000001</v>
      </c>
    </row>
    <row r="44" spans="1:11">
      <c r="A44" s="92"/>
      <c r="B44" s="93" t="s">
        <v>51</v>
      </c>
      <c r="C44" s="93" t="s">
        <v>50</v>
      </c>
      <c r="D44" s="149"/>
      <c r="E44" s="150"/>
      <c r="F44" s="149" t="s">
        <v>6</v>
      </c>
      <c r="G44" s="151">
        <f>$E$43/8*2</f>
        <v>0</v>
      </c>
      <c r="H44" s="152"/>
      <c r="I44" s="153">
        <f>0.67/8*2</f>
        <v>0.16750000000000001</v>
      </c>
      <c r="J44" s="149"/>
      <c r="K44" s="154">
        <f>0.67/8*2</f>
        <v>0.16750000000000001</v>
      </c>
    </row>
    <row r="45" spans="1:11" ht="17" thickBot="1">
      <c r="A45" s="94"/>
      <c r="B45" s="95"/>
      <c r="C45" s="95"/>
      <c r="D45" s="155"/>
      <c r="E45" s="156"/>
      <c r="F45" s="155" t="s">
        <v>53</v>
      </c>
      <c r="G45" s="157">
        <f>$E$43/8*2.5</f>
        <v>0</v>
      </c>
      <c r="H45" s="158"/>
      <c r="I45" s="159">
        <f>0.67/8*2.5</f>
        <v>0.20937500000000001</v>
      </c>
      <c r="J45" s="155"/>
      <c r="K45" s="160">
        <f>0.67/8*2.5</f>
        <v>0.20937500000000001</v>
      </c>
    </row>
    <row r="46" spans="1:11" ht="17" thickTop="1">
      <c r="A46" s="96" t="s">
        <v>271</v>
      </c>
      <c r="B46" s="97" t="s">
        <v>39</v>
      </c>
      <c r="C46" s="97" t="s">
        <v>40</v>
      </c>
      <c r="D46" s="162" t="s">
        <v>3</v>
      </c>
      <c r="E46" s="163">
        <v>0</v>
      </c>
      <c r="F46" s="162" t="s">
        <v>35</v>
      </c>
      <c r="G46" s="164">
        <f>$E$46/8*0.5</f>
        <v>0</v>
      </c>
      <c r="H46" s="162" t="s">
        <v>176</v>
      </c>
      <c r="I46" s="165">
        <f>4/8*0.5</f>
        <v>0.25</v>
      </c>
      <c r="J46" s="162" t="s">
        <v>120</v>
      </c>
      <c r="K46" s="166" t="s">
        <v>120</v>
      </c>
    </row>
    <row r="47" spans="1:11">
      <c r="A47" s="98"/>
      <c r="B47" s="99"/>
      <c r="C47" s="99"/>
      <c r="D47" s="167"/>
      <c r="E47" s="168"/>
      <c r="F47" s="167" t="s">
        <v>30</v>
      </c>
      <c r="G47" s="169">
        <f>$E$46/8*1</f>
        <v>0</v>
      </c>
      <c r="H47" s="170"/>
      <c r="I47" s="171">
        <f>4/8*1</f>
        <v>0.5</v>
      </c>
      <c r="J47" s="167"/>
      <c r="K47" s="172" t="s">
        <v>120</v>
      </c>
    </row>
    <row r="48" spans="1:11" ht="17" thickBot="1">
      <c r="A48" s="100"/>
      <c r="B48" s="101"/>
      <c r="C48" s="101"/>
      <c r="D48" s="173"/>
      <c r="E48" s="174"/>
      <c r="F48" s="173" t="s">
        <v>31</v>
      </c>
      <c r="G48" s="175">
        <f>$E$46/8*2</f>
        <v>0</v>
      </c>
      <c r="H48" s="176"/>
      <c r="I48" s="177">
        <f>4/8*2</f>
        <v>1</v>
      </c>
      <c r="J48" s="173"/>
      <c r="K48" s="178" t="s">
        <v>120</v>
      </c>
    </row>
    <row r="49" spans="1:11" ht="17" thickTop="1">
      <c r="A49" s="96" t="s">
        <v>272</v>
      </c>
      <c r="B49" s="97" t="s">
        <v>41</v>
      </c>
      <c r="C49" s="97" t="s">
        <v>42</v>
      </c>
      <c r="D49" s="162" t="s">
        <v>3</v>
      </c>
      <c r="E49" s="163">
        <v>0</v>
      </c>
      <c r="F49" s="162" t="s">
        <v>45</v>
      </c>
      <c r="G49" s="164">
        <f>$E$49/4*1</f>
        <v>0</v>
      </c>
      <c r="H49" s="162" t="s">
        <v>176</v>
      </c>
      <c r="I49" s="165">
        <f>1/4*1</f>
        <v>0.25</v>
      </c>
      <c r="J49" s="162" t="s">
        <v>118</v>
      </c>
      <c r="K49" s="166">
        <f>2/4*1</f>
        <v>0.5</v>
      </c>
    </row>
    <row r="50" spans="1:11">
      <c r="A50" s="98" t="s">
        <v>113</v>
      </c>
      <c r="B50" s="99" t="s">
        <v>43</v>
      </c>
      <c r="C50" s="99" t="s">
        <v>44</v>
      </c>
      <c r="D50" s="167"/>
      <c r="E50" s="168"/>
      <c r="F50" s="167" t="s">
        <v>46</v>
      </c>
      <c r="G50" s="169">
        <f>$E$49/4*2</f>
        <v>0</v>
      </c>
      <c r="H50" s="170"/>
      <c r="I50" s="171">
        <f>1/4*2</f>
        <v>0.5</v>
      </c>
      <c r="J50" s="167"/>
      <c r="K50" s="172">
        <f>2/4*2</f>
        <v>1</v>
      </c>
    </row>
    <row r="51" spans="1:11">
      <c r="A51" s="98"/>
      <c r="B51" s="99"/>
      <c r="C51" s="99"/>
      <c r="D51" s="167"/>
      <c r="E51" s="168"/>
      <c r="F51" s="167" t="s">
        <v>47</v>
      </c>
      <c r="G51" s="169">
        <f>$E$49/4*3</f>
        <v>0</v>
      </c>
      <c r="H51" s="170"/>
      <c r="I51" s="171">
        <f>1/4*3</f>
        <v>0.75</v>
      </c>
      <c r="J51" s="167"/>
      <c r="K51" s="172">
        <f>2/4*3</f>
        <v>1.5</v>
      </c>
    </row>
    <row r="52" spans="1:11" ht="17" thickBot="1">
      <c r="A52" s="100"/>
      <c r="B52" s="101"/>
      <c r="C52" s="101"/>
      <c r="D52" s="173"/>
      <c r="E52" s="174"/>
      <c r="F52" s="173" t="s">
        <v>48</v>
      </c>
      <c r="G52" s="175">
        <f>$E$49/4*4</f>
        <v>0</v>
      </c>
      <c r="H52" s="176"/>
      <c r="I52" s="177">
        <f>1/4*4</f>
        <v>1</v>
      </c>
      <c r="J52" s="173"/>
      <c r="K52" s="178">
        <f>2/4*4</f>
        <v>2</v>
      </c>
    </row>
    <row r="53" spans="1:11" ht="17" thickTop="1">
      <c r="A53" s="96" t="s">
        <v>273</v>
      </c>
      <c r="B53" s="97" t="s">
        <v>69</v>
      </c>
      <c r="C53" s="97" t="s">
        <v>71</v>
      </c>
      <c r="D53" s="162" t="s">
        <v>3</v>
      </c>
      <c r="E53" s="163">
        <v>0</v>
      </c>
      <c r="F53" s="162" t="s">
        <v>36</v>
      </c>
      <c r="G53" s="164">
        <f>$E$53/8*0.75</f>
        <v>0</v>
      </c>
      <c r="H53" s="162" t="s">
        <v>176</v>
      </c>
      <c r="I53" s="165">
        <f>3/8*0.75</f>
        <v>0.28125</v>
      </c>
      <c r="J53" s="162" t="s">
        <v>166</v>
      </c>
      <c r="K53" s="166">
        <f>1/8*0.75</f>
        <v>9.375E-2</v>
      </c>
    </row>
    <row r="54" spans="1:11">
      <c r="A54" s="98"/>
      <c r="B54" s="99" t="s">
        <v>70</v>
      </c>
      <c r="C54" s="99" t="s">
        <v>72</v>
      </c>
      <c r="D54" s="167"/>
      <c r="E54" s="168"/>
      <c r="F54" s="167" t="s">
        <v>37</v>
      </c>
      <c r="G54" s="169">
        <f>$E$53/8*1</f>
        <v>0</v>
      </c>
      <c r="H54" s="170"/>
      <c r="I54" s="171">
        <f>3/8*1</f>
        <v>0.375</v>
      </c>
      <c r="J54" s="167"/>
      <c r="K54" s="172">
        <f>1/8*1</f>
        <v>0.125</v>
      </c>
    </row>
    <row r="55" spans="1:11" ht="17" thickBot="1">
      <c r="A55" s="100"/>
      <c r="B55" s="101"/>
      <c r="C55" s="101"/>
      <c r="D55" s="173"/>
      <c r="E55" s="174"/>
      <c r="F55" s="173" t="s">
        <v>5</v>
      </c>
      <c r="G55" s="175">
        <f>$E$53/8*1.5</f>
        <v>0</v>
      </c>
      <c r="H55" s="176"/>
      <c r="I55" s="177">
        <f>3/8*1.5</f>
        <v>0.5625</v>
      </c>
      <c r="J55" s="173"/>
      <c r="K55" s="178">
        <f>1/8*1.5</f>
        <v>0.1875</v>
      </c>
    </row>
    <row r="56" spans="1:11" ht="17" thickTop="1">
      <c r="A56" s="19" t="s">
        <v>274</v>
      </c>
      <c r="B56" s="27" t="s">
        <v>102</v>
      </c>
      <c r="C56" s="27" t="s">
        <v>104</v>
      </c>
      <c r="D56" s="6" t="s">
        <v>3</v>
      </c>
      <c r="E56" s="38">
        <v>0</v>
      </c>
      <c r="F56" s="6" t="s">
        <v>35</v>
      </c>
      <c r="G56" s="7">
        <f>$E$56/8*0.5</f>
        <v>0</v>
      </c>
      <c r="H56" s="52" t="s">
        <v>165</v>
      </c>
      <c r="I56" s="53">
        <f>1/8*0.5</f>
        <v>6.25E-2</v>
      </c>
      <c r="J56" s="6" t="s">
        <v>118</v>
      </c>
      <c r="K56" s="58">
        <f>2.87/8*0.5</f>
        <v>0.17937500000000001</v>
      </c>
    </row>
    <row r="57" spans="1:11">
      <c r="A57" s="20" t="s">
        <v>113</v>
      </c>
      <c r="B57" s="26" t="s">
        <v>103</v>
      </c>
      <c r="C57" s="26" t="s">
        <v>105</v>
      </c>
      <c r="D57" s="4"/>
      <c r="E57" s="40"/>
      <c r="F57" s="4" t="s">
        <v>37</v>
      </c>
      <c r="G57" s="8">
        <f>$E$56/8*1</f>
        <v>0</v>
      </c>
      <c r="H57" s="48"/>
      <c r="I57" s="49">
        <f>1/8*1</f>
        <v>0.125</v>
      </c>
      <c r="J57" s="4"/>
      <c r="K57" s="59">
        <f>2.87/8*1</f>
        <v>0.35875000000000001</v>
      </c>
    </row>
    <row r="58" spans="1:11">
      <c r="A58" s="20"/>
      <c r="B58" s="26"/>
      <c r="C58" s="26"/>
      <c r="D58" s="4"/>
      <c r="E58" s="40"/>
      <c r="F58" s="4" t="s">
        <v>5</v>
      </c>
      <c r="G58" s="8">
        <f>$E$56/8*1.5</f>
        <v>0</v>
      </c>
      <c r="H58" s="48"/>
      <c r="I58" s="49">
        <f>1/8*1.5</f>
        <v>0.1875</v>
      </c>
      <c r="J58" s="4"/>
      <c r="K58" s="59">
        <f>2.87/8*1.5</f>
        <v>0.53812499999999996</v>
      </c>
    </row>
    <row r="59" spans="1:11">
      <c r="A59" s="20"/>
      <c r="B59" s="26"/>
      <c r="C59" s="26"/>
      <c r="D59" s="4"/>
      <c r="E59" s="40"/>
      <c r="F59" s="4" t="s">
        <v>6</v>
      </c>
      <c r="G59" s="8">
        <f>$E$56/8*2</f>
        <v>0</v>
      </c>
      <c r="H59" s="48"/>
      <c r="I59" s="49">
        <f>1/8*2</f>
        <v>0.25</v>
      </c>
      <c r="J59" s="4"/>
      <c r="K59" s="59">
        <f>2.87/8*2</f>
        <v>0.71750000000000003</v>
      </c>
    </row>
    <row r="60" spans="1:11">
      <c r="A60" s="20"/>
      <c r="B60" s="26"/>
      <c r="C60" s="26"/>
      <c r="D60" s="4"/>
      <c r="E60" s="40"/>
      <c r="F60" s="4" t="s">
        <v>7</v>
      </c>
      <c r="G60" s="8">
        <f>$E$56/8*3</f>
        <v>0</v>
      </c>
      <c r="H60" s="48"/>
      <c r="I60" s="49">
        <f>1/8*3</f>
        <v>0.375</v>
      </c>
      <c r="J60" s="4"/>
      <c r="K60" s="59">
        <f>2.87/8*3</f>
        <v>1.0762499999999999</v>
      </c>
    </row>
    <row r="61" spans="1:11" ht="17" thickBot="1">
      <c r="A61" s="21"/>
      <c r="B61" s="28"/>
      <c r="C61" s="28"/>
      <c r="D61" s="5"/>
      <c r="E61" s="41"/>
      <c r="F61" s="5" t="s">
        <v>38</v>
      </c>
      <c r="G61" s="9">
        <f>$E$56/8*4</f>
        <v>0</v>
      </c>
      <c r="H61" s="50"/>
      <c r="I61" s="51">
        <f>1/8*4</f>
        <v>0.5</v>
      </c>
      <c r="J61" s="5"/>
      <c r="K61" s="60">
        <f>2.87/8*4</f>
        <v>1.4350000000000001</v>
      </c>
    </row>
    <row r="62" spans="1:11" ht="17" thickTop="1">
      <c r="A62" s="19" t="s">
        <v>275</v>
      </c>
      <c r="B62" s="27" t="s">
        <v>97</v>
      </c>
      <c r="C62" s="27" t="s">
        <v>98</v>
      </c>
      <c r="D62" s="6" t="s">
        <v>3</v>
      </c>
      <c r="E62" s="38">
        <v>0</v>
      </c>
      <c r="F62" s="6" t="s">
        <v>30</v>
      </c>
      <c r="G62" s="7">
        <f>$E$62/8*1</f>
        <v>0</v>
      </c>
      <c r="H62" s="52" t="s">
        <v>118</v>
      </c>
      <c r="I62" s="53">
        <f>3.8/8*1</f>
        <v>0.47499999999999998</v>
      </c>
      <c r="J62" s="6" t="s">
        <v>120</v>
      </c>
      <c r="K62" s="61" t="s">
        <v>120</v>
      </c>
    </row>
    <row r="63" spans="1:11">
      <c r="A63" s="20"/>
      <c r="B63" s="26"/>
      <c r="C63" s="26"/>
      <c r="D63" s="4"/>
      <c r="E63" s="40"/>
      <c r="F63" s="4" t="s">
        <v>31</v>
      </c>
      <c r="G63" s="8">
        <f>$E$62/8*2</f>
        <v>0</v>
      </c>
      <c r="H63" s="48"/>
      <c r="I63" s="49">
        <f>3.8/8*2</f>
        <v>0.95</v>
      </c>
      <c r="J63" s="4"/>
      <c r="K63" s="54" t="s">
        <v>120</v>
      </c>
    </row>
    <row r="64" spans="1:11">
      <c r="A64" s="20"/>
      <c r="B64" s="26"/>
      <c r="C64" s="26"/>
      <c r="D64" s="4"/>
      <c r="E64" s="40"/>
      <c r="F64" s="4" t="s">
        <v>99</v>
      </c>
      <c r="G64" s="8">
        <f>$E$62/8*3</f>
        <v>0</v>
      </c>
      <c r="H64" s="48"/>
      <c r="I64" s="49">
        <f>3.8/8*3</f>
        <v>1.4249999999999998</v>
      </c>
      <c r="J64" s="4"/>
      <c r="K64" s="54" t="s">
        <v>120</v>
      </c>
    </row>
    <row r="65" spans="1:11" ht="17" thickBot="1">
      <c r="A65" s="21"/>
      <c r="B65" s="28"/>
      <c r="C65" s="28"/>
      <c r="D65" s="5"/>
      <c r="E65" s="41"/>
      <c r="F65" s="5" t="s">
        <v>32</v>
      </c>
      <c r="G65" s="9">
        <f>$E$62/8*4</f>
        <v>0</v>
      </c>
      <c r="H65" s="50"/>
      <c r="I65" s="51">
        <f>3.8/8*4</f>
        <v>1.9</v>
      </c>
      <c r="J65" s="5"/>
      <c r="K65" s="62" t="s">
        <v>120</v>
      </c>
    </row>
    <row r="66" spans="1:11" ht="17" thickTop="1">
      <c r="A66" s="19" t="s">
        <v>276</v>
      </c>
      <c r="B66" s="27" t="s">
        <v>100</v>
      </c>
      <c r="C66" s="27" t="s">
        <v>98</v>
      </c>
      <c r="D66" s="6" t="s">
        <v>3</v>
      </c>
      <c r="E66" s="38">
        <v>0</v>
      </c>
      <c r="F66" s="4" t="s">
        <v>31</v>
      </c>
      <c r="G66" s="8">
        <f>$E$66/8*2</f>
        <v>0</v>
      </c>
      <c r="H66" s="68" t="s">
        <v>118</v>
      </c>
      <c r="I66" s="53">
        <f>3.8/8*2</f>
        <v>0.95</v>
      </c>
      <c r="J66" s="6" t="s">
        <v>120</v>
      </c>
      <c r="K66" s="61" t="s">
        <v>120</v>
      </c>
    </row>
    <row r="67" spans="1:11">
      <c r="A67" s="20"/>
      <c r="B67" s="26"/>
      <c r="C67" s="26"/>
      <c r="D67" s="4"/>
      <c r="E67" s="40"/>
      <c r="F67" s="4" t="s">
        <v>99</v>
      </c>
      <c r="G67" s="8">
        <f>$E$66/8*3</f>
        <v>0</v>
      </c>
      <c r="H67" s="48"/>
      <c r="I67" s="49">
        <f>3.8/8*3</f>
        <v>1.4249999999999998</v>
      </c>
      <c r="J67" s="4"/>
      <c r="K67" s="54" t="s">
        <v>120</v>
      </c>
    </row>
    <row r="68" spans="1:11" ht="17" thickBot="1">
      <c r="A68" s="189"/>
      <c r="B68" s="41"/>
      <c r="C68" s="41"/>
      <c r="D68" s="41"/>
      <c r="E68" s="41"/>
      <c r="F68" s="5" t="s">
        <v>32</v>
      </c>
      <c r="G68" s="9">
        <f>$E$66/8*4</f>
        <v>0</v>
      </c>
      <c r="H68" s="50"/>
      <c r="I68" s="51">
        <f>3.8/8*4</f>
        <v>1.9</v>
      </c>
      <c r="J68" s="5"/>
      <c r="K68" s="62" t="s">
        <v>120</v>
      </c>
    </row>
    <row r="69" spans="1:11" ht="17" thickTop="1">
      <c r="A69" s="19" t="s">
        <v>293</v>
      </c>
      <c r="B69" s="27" t="s">
        <v>294</v>
      </c>
      <c r="C69" s="27" t="s">
        <v>98</v>
      </c>
      <c r="D69" s="6" t="s">
        <v>3</v>
      </c>
      <c r="E69" s="38"/>
      <c r="F69" s="4" t="s">
        <v>31</v>
      </c>
      <c r="G69" s="8">
        <f>$E$69/8*2</f>
        <v>0</v>
      </c>
      <c r="H69" s="68" t="s">
        <v>118</v>
      </c>
      <c r="I69" s="53">
        <f>3.8/8*2</f>
        <v>0.95</v>
      </c>
      <c r="J69" s="6" t="s">
        <v>120</v>
      </c>
      <c r="K69" s="61" t="s">
        <v>120</v>
      </c>
    </row>
    <row r="70" spans="1:11">
      <c r="A70" s="20"/>
      <c r="B70" s="26"/>
      <c r="C70" s="26"/>
      <c r="D70" s="4"/>
      <c r="E70" s="40"/>
      <c r="F70" s="4" t="s">
        <v>99</v>
      </c>
      <c r="G70" s="8">
        <f>$E$69/8*3</f>
        <v>0</v>
      </c>
      <c r="H70" s="48"/>
      <c r="I70" s="49">
        <f>3.8/8*3</f>
        <v>1.4249999999999998</v>
      </c>
      <c r="J70" s="4"/>
      <c r="K70" s="54" t="s">
        <v>120</v>
      </c>
    </row>
    <row r="71" spans="1:11" ht="17" thickBot="1">
      <c r="A71" s="189"/>
      <c r="B71" s="41"/>
      <c r="C71" s="41"/>
      <c r="D71" s="41"/>
      <c r="E71" s="41"/>
      <c r="F71" s="5" t="s">
        <v>32</v>
      </c>
      <c r="G71" s="9">
        <f>$E$69/8*4</f>
        <v>0</v>
      </c>
      <c r="H71" s="50"/>
      <c r="I71" s="51">
        <f>3.8/8*4</f>
        <v>1.9</v>
      </c>
      <c r="J71" s="5"/>
      <c r="K71" s="62" t="s">
        <v>120</v>
      </c>
    </row>
    <row r="72" spans="1:11" ht="17" thickTop="1"/>
    <row r="73" spans="1:11">
      <c r="D73" s="186"/>
      <c r="F73" s="186"/>
      <c r="G73" s="186"/>
      <c r="H73" s="186"/>
      <c r="I73" s="186"/>
      <c r="J73" s="186"/>
      <c r="K73" s="186"/>
    </row>
    <row r="74" spans="1:11" ht="20" thickBot="1">
      <c r="A74" s="219" t="s">
        <v>287</v>
      </c>
      <c r="B74" s="220"/>
      <c r="C74" s="220"/>
      <c r="D74" s="221"/>
      <c r="E74" s="222"/>
      <c r="F74" s="221"/>
      <c r="G74" s="221"/>
      <c r="H74" s="221"/>
      <c r="I74" s="221"/>
      <c r="J74" s="221"/>
      <c r="K74" s="221"/>
    </row>
    <row r="75" spans="1:11" ht="17" thickTop="1">
      <c r="A75" s="19" t="s">
        <v>253</v>
      </c>
      <c r="B75" s="29" t="s">
        <v>186</v>
      </c>
      <c r="C75" s="29" t="s">
        <v>187</v>
      </c>
      <c r="D75" s="10" t="s">
        <v>3</v>
      </c>
      <c r="E75" s="45">
        <v>0</v>
      </c>
      <c r="F75" s="6" t="s">
        <v>188</v>
      </c>
      <c r="G75" s="7">
        <f>$E$75/4*0.5</f>
        <v>0</v>
      </c>
      <c r="H75" s="52" t="s">
        <v>194</v>
      </c>
      <c r="I75" s="53">
        <f>4/4*0.5</f>
        <v>0.5</v>
      </c>
      <c r="J75" s="6" t="s">
        <v>120</v>
      </c>
      <c r="K75" s="58" t="s">
        <v>120</v>
      </c>
    </row>
    <row r="76" spans="1:11">
      <c r="A76" s="20" t="s">
        <v>195</v>
      </c>
      <c r="B76" s="26"/>
      <c r="C76" s="26"/>
      <c r="D76" s="4"/>
      <c r="E76" s="40"/>
      <c r="F76" s="4" t="s">
        <v>189</v>
      </c>
      <c r="G76" s="8">
        <f>$E$75/4*1</f>
        <v>0</v>
      </c>
      <c r="H76" s="48"/>
      <c r="I76" s="49">
        <f>4/4*1</f>
        <v>1</v>
      </c>
      <c r="J76" s="4"/>
      <c r="K76" s="59" t="s">
        <v>120</v>
      </c>
    </row>
    <row r="77" spans="1:11">
      <c r="A77" s="20" t="s">
        <v>196</v>
      </c>
      <c r="B77" s="26"/>
      <c r="C77" s="26"/>
      <c r="D77" s="4"/>
      <c r="E77" s="40"/>
      <c r="F77" s="4" t="s">
        <v>190</v>
      </c>
      <c r="G77" s="8">
        <f>$E$75/4*2</f>
        <v>0</v>
      </c>
      <c r="H77" s="48"/>
      <c r="I77" s="49">
        <f>4/4*2</f>
        <v>2</v>
      </c>
      <c r="J77" s="4"/>
      <c r="K77" s="59" t="s">
        <v>120</v>
      </c>
    </row>
    <row r="78" spans="1:11">
      <c r="A78" s="20"/>
      <c r="B78" s="26"/>
      <c r="C78" s="26"/>
      <c r="D78" s="4"/>
      <c r="E78" s="40"/>
      <c r="F78" s="4" t="s">
        <v>191</v>
      </c>
      <c r="G78" s="8">
        <f>$E$75/4*3</f>
        <v>0</v>
      </c>
      <c r="H78" s="48"/>
      <c r="I78" s="49">
        <f>4/4*3</f>
        <v>3</v>
      </c>
      <c r="J78" s="4"/>
      <c r="K78" s="59" t="s">
        <v>120</v>
      </c>
    </row>
    <row r="79" spans="1:11">
      <c r="A79" s="20"/>
      <c r="B79" s="26"/>
      <c r="C79" s="26"/>
      <c r="D79" s="4"/>
      <c r="E79" s="40"/>
      <c r="F79" s="4" t="s">
        <v>192</v>
      </c>
      <c r="G79" s="8">
        <f>$E$75/4*4</f>
        <v>0</v>
      </c>
      <c r="H79" s="48"/>
      <c r="I79" s="49">
        <f>4/4*4</f>
        <v>4</v>
      </c>
      <c r="J79" s="4"/>
      <c r="K79" s="59" t="s">
        <v>120</v>
      </c>
    </row>
    <row r="80" spans="1:11" ht="17" thickBot="1">
      <c r="A80" s="20"/>
      <c r="B80" s="26"/>
      <c r="C80" s="41"/>
      <c r="D80" s="41"/>
      <c r="E80" s="41"/>
      <c r="F80" s="5" t="s">
        <v>193</v>
      </c>
      <c r="G80" s="9">
        <f>$E$75/4*5</f>
        <v>0</v>
      </c>
      <c r="H80" s="48"/>
      <c r="I80" s="51">
        <f>4/4*5</f>
        <v>5</v>
      </c>
      <c r="J80" s="5"/>
      <c r="K80" s="59" t="s">
        <v>120</v>
      </c>
    </row>
    <row r="81" spans="1:11" ht="17" thickTop="1">
      <c r="A81" s="84" t="s">
        <v>285</v>
      </c>
      <c r="B81" s="85" t="s">
        <v>278</v>
      </c>
      <c r="C81" s="86" t="s">
        <v>177</v>
      </c>
      <c r="D81" s="103" t="s">
        <v>76</v>
      </c>
      <c r="E81" s="104">
        <v>0</v>
      </c>
      <c r="F81" s="190" t="s">
        <v>327</v>
      </c>
      <c r="G81" s="110">
        <f>$E$81*0.3</f>
        <v>0</v>
      </c>
      <c r="H81" s="103" t="s">
        <v>119</v>
      </c>
      <c r="I81" s="112">
        <f>0.6/16*0.3</f>
        <v>1.125E-2</v>
      </c>
      <c r="J81" s="107" t="s">
        <v>120</v>
      </c>
      <c r="K81" s="108" t="s">
        <v>120</v>
      </c>
    </row>
    <row r="82" spans="1:11">
      <c r="A82" s="87" t="s">
        <v>277</v>
      </c>
      <c r="B82" s="86"/>
      <c r="C82" s="86"/>
      <c r="D82" s="107"/>
      <c r="E82" s="109"/>
      <c r="F82" s="190" t="s">
        <v>328</v>
      </c>
      <c r="G82" s="110">
        <f>$E$81*0.5</f>
        <v>0</v>
      </c>
      <c r="H82" s="111"/>
      <c r="I82" s="112">
        <f>0.6/16*0.5</f>
        <v>1.8749999999999999E-2</v>
      </c>
      <c r="J82" s="107"/>
      <c r="K82" s="113" t="s">
        <v>120</v>
      </c>
    </row>
    <row r="83" spans="1:11" ht="17" thickBot="1">
      <c r="A83" s="88"/>
      <c r="B83" s="89"/>
      <c r="C83" s="89"/>
      <c r="D83" s="114"/>
      <c r="E83" s="115"/>
      <c r="F83" s="191" t="s">
        <v>324</v>
      </c>
      <c r="G83" s="116">
        <f>$E$81*1</f>
        <v>0</v>
      </c>
      <c r="H83" s="117"/>
      <c r="I83" s="112">
        <f>0.6/16*1</f>
        <v>3.7499999999999999E-2</v>
      </c>
      <c r="J83" s="114"/>
      <c r="K83" s="113" t="s">
        <v>120</v>
      </c>
    </row>
    <row r="84" spans="1:11" ht="17" thickTop="1">
      <c r="A84" s="84" t="s">
        <v>256</v>
      </c>
      <c r="B84" s="85" t="s">
        <v>74</v>
      </c>
      <c r="C84" s="86" t="s">
        <v>169</v>
      </c>
      <c r="D84" s="103" t="s">
        <v>76</v>
      </c>
      <c r="E84" s="104">
        <v>0</v>
      </c>
      <c r="F84" s="103" t="s">
        <v>77</v>
      </c>
      <c r="G84" s="105">
        <f>$E$84*0.125</f>
        <v>0</v>
      </c>
      <c r="H84" s="103" t="s">
        <v>119</v>
      </c>
      <c r="I84" s="106">
        <f>0.48/16*0.125</f>
        <v>3.7499999999999999E-3</v>
      </c>
      <c r="J84" s="107" t="s">
        <v>171</v>
      </c>
      <c r="K84" s="108">
        <f>0.15/16*0.125</f>
        <v>1.171875E-3</v>
      </c>
    </row>
    <row r="85" spans="1:11">
      <c r="A85" s="87" t="s">
        <v>113</v>
      </c>
      <c r="B85" s="86" t="s">
        <v>75</v>
      </c>
      <c r="C85" s="86" t="s">
        <v>170</v>
      </c>
      <c r="D85" s="107"/>
      <c r="E85" s="109"/>
      <c r="F85" s="107" t="s">
        <v>78</v>
      </c>
      <c r="G85" s="110">
        <f>$E$84*0.25</f>
        <v>0</v>
      </c>
      <c r="H85" s="111"/>
      <c r="I85" s="112">
        <f>0.48/16*0.25</f>
        <v>7.4999999999999997E-3</v>
      </c>
      <c r="J85" s="107"/>
      <c r="K85" s="113">
        <f>0.15/16*0.25</f>
        <v>2.3437499999999999E-3</v>
      </c>
    </row>
    <row r="86" spans="1:11">
      <c r="A86" s="87"/>
      <c r="B86" s="86"/>
      <c r="C86" s="86"/>
      <c r="D86" s="107"/>
      <c r="E86" s="109"/>
      <c r="F86" s="107" t="s">
        <v>79</v>
      </c>
      <c r="G86" s="110">
        <f>$E$84*0.375</f>
        <v>0</v>
      </c>
      <c r="H86" s="111"/>
      <c r="I86" s="112">
        <f>0.48/16*0.375</f>
        <v>1.125E-2</v>
      </c>
      <c r="J86" s="107"/>
      <c r="K86" s="113">
        <f>0.15/16*0.375</f>
        <v>3.5156249999999997E-3</v>
      </c>
    </row>
    <row r="87" spans="1:11">
      <c r="A87" s="87"/>
      <c r="B87" s="86"/>
      <c r="C87" s="86"/>
      <c r="D87" s="107"/>
      <c r="E87" s="109"/>
      <c r="F87" s="107" t="s">
        <v>80</v>
      </c>
      <c r="G87" s="110">
        <f>$E$84*0.625</f>
        <v>0</v>
      </c>
      <c r="H87" s="111"/>
      <c r="I87" s="112">
        <f>0.48/16*0.625</f>
        <v>1.8749999999999999E-2</v>
      </c>
      <c r="J87" s="107"/>
      <c r="K87" s="113">
        <f>0.15/16*0.625</f>
        <v>5.859375E-3</v>
      </c>
    </row>
    <row r="88" spans="1:11" ht="17" thickBot="1">
      <c r="A88" s="88"/>
      <c r="B88" s="89"/>
      <c r="C88" s="89"/>
      <c r="D88" s="114"/>
      <c r="E88" s="115"/>
      <c r="F88" s="114" t="s">
        <v>81</v>
      </c>
      <c r="G88" s="116">
        <f>$E$84*1.25</f>
        <v>0</v>
      </c>
      <c r="H88" s="117"/>
      <c r="I88" s="112">
        <f>0.48/16*1.25</f>
        <v>3.7499999999999999E-2</v>
      </c>
      <c r="J88" s="114"/>
      <c r="K88" s="113">
        <f>0.15/16*1.25</f>
        <v>1.171875E-2</v>
      </c>
    </row>
    <row r="89" spans="1:11" ht="17" thickTop="1">
      <c r="A89" s="84" t="s">
        <v>257</v>
      </c>
      <c r="B89" s="85" t="s">
        <v>82</v>
      </c>
      <c r="C89" s="85" t="s">
        <v>172</v>
      </c>
      <c r="D89" s="103" t="s">
        <v>76</v>
      </c>
      <c r="E89" s="104">
        <v>0</v>
      </c>
      <c r="F89" s="103" t="s">
        <v>110</v>
      </c>
      <c r="G89" s="105">
        <f>$E$89*0.5</f>
        <v>0</v>
      </c>
      <c r="H89" s="103" t="s">
        <v>119</v>
      </c>
      <c r="I89" s="106">
        <f>0.3/16*0.5</f>
        <v>9.3749999999999997E-3</v>
      </c>
      <c r="J89" s="107" t="s">
        <v>171</v>
      </c>
      <c r="K89" s="108">
        <f>0.375/16*0.5</f>
        <v>1.171875E-2</v>
      </c>
    </row>
    <row r="90" spans="1:11">
      <c r="A90" s="87"/>
      <c r="B90" s="86" t="s">
        <v>83</v>
      </c>
      <c r="C90" s="86" t="s">
        <v>173</v>
      </c>
      <c r="D90" s="107"/>
      <c r="E90" s="109"/>
      <c r="F90" s="107" t="s">
        <v>84</v>
      </c>
      <c r="G90" s="110">
        <f>$E$89*1</f>
        <v>0</v>
      </c>
      <c r="H90" s="111"/>
      <c r="I90" s="112">
        <f>0.3/16*1</f>
        <v>1.8749999999999999E-2</v>
      </c>
      <c r="J90" s="107"/>
      <c r="K90" s="113">
        <f>0.375/16*1</f>
        <v>2.34375E-2</v>
      </c>
    </row>
    <row r="91" spans="1:11" ht="17" thickBot="1">
      <c r="A91" s="88"/>
      <c r="B91" s="89"/>
      <c r="C91" s="89"/>
      <c r="D91" s="114"/>
      <c r="E91" s="115"/>
      <c r="F91" s="114" t="s">
        <v>22</v>
      </c>
      <c r="G91" s="116">
        <f>$E$89*2</f>
        <v>0</v>
      </c>
      <c r="H91" s="117"/>
      <c r="I91" s="118">
        <f>0.3/16*2</f>
        <v>3.7499999999999999E-2</v>
      </c>
      <c r="J91" s="114"/>
      <c r="K91" s="119">
        <f>0.375/16*2</f>
        <v>4.6875E-2</v>
      </c>
    </row>
    <row r="92" spans="1:11" s="3" customFormat="1" ht="17" thickTop="1">
      <c r="A92" s="84" t="s">
        <v>258</v>
      </c>
      <c r="B92" s="85" t="s">
        <v>85</v>
      </c>
      <c r="C92" s="85" t="s">
        <v>177</v>
      </c>
      <c r="D92" s="103" t="s">
        <v>3</v>
      </c>
      <c r="E92" s="104">
        <v>0</v>
      </c>
      <c r="F92" s="103" t="s">
        <v>90</v>
      </c>
      <c r="G92" s="105">
        <f>$E$92/8*1</f>
        <v>0</v>
      </c>
      <c r="H92" s="103" t="s">
        <v>119</v>
      </c>
      <c r="I92" s="112">
        <f>0.6/16*0.25</f>
        <v>9.3749999999999997E-3</v>
      </c>
      <c r="J92" s="107" t="s">
        <v>165</v>
      </c>
      <c r="K92" s="113">
        <f>1/8*1</f>
        <v>0.125</v>
      </c>
    </row>
    <row r="93" spans="1:11" s="3" customFormat="1">
      <c r="A93" s="87"/>
      <c r="B93" s="86" t="s">
        <v>86</v>
      </c>
      <c r="C93" s="86" t="s">
        <v>88</v>
      </c>
      <c r="D93" s="107"/>
      <c r="E93" s="109"/>
      <c r="F93" s="107" t="s">
        <v>91</v>
      </c>
      <c r="G93" s="110">
        <f>$E$92/8*2</f>
        <v>0</v>
      </c>
      <c r="H93" s="111"/>
      <c r="I93" s="112">
        <f>0.6/16*0.5</f>
        <v>1.8749999999999999E-2</v>
      </c>
      <c r="J93" s="107"/>
      <c r="K93" s="113">
        <f>1/8*2</f>
        <v>0.25</v>
      </c>
    </row>
    <row r="94" spans="1:11" s="3" customFormat="1" ht="17" thickBot="1">
      <c r="A94" s="88"/>
      <c r="B94" s="89" t="s">
        <v>87</v>
      </c>
      <c r="C94" s="89" t="s">
        <v>89</v>
      </c>
      <c r="D94" s="114"/>
      <c r="E94" s="115"/>
      <c r="F94" s="114" t="s">
        <v>92</v>
      </c>
      <c r="G94" s="116">
        <f>$E$92/8*4</f>
        <v>0</v>
      </c>
      <c r="H94" s="117"/>
      <c r="I94" s="118">
        <f>0.6/16*1</f>
        <v>3.7499999999999999E-2</v>
      </c>
      <c r="J94" s="114"/>
      <c r="K94" s="119">
        <f>1/8*4</f>
        <v>0.5</v>
      </c>
    </row>
    <row r="95" spans="1:11" ht="17" thickTop="1">
      <c r="A95" s="19" t="s">
        <v>254</v>
      </c>
      <c r="B95" s="29" t="s">
        <v>108</v>
      </c>
      <c r="C95" s="29" t="s">
        <v>168</v>
      </c>
      <c r="D95" s="10" t="s">
        <v>3</v>
      </c>
      <c r="E95" s="38">
        <v>0</v>
      </c>
      <c r="F95" s="6" t="s">
        <v>95</v>
      </c>
      <c r="G95" s="7">
        <f>$E$95/8*2.75</f>
        <v>0</v>
      </c>
      <c r="H95" s="52" t="s">
        <v>167</v>
      </c>
      <c r="I95" s="49">
        <f>2/8*2.75</f>
        <v>0.6875</v>
      </c>
      <c r="J95" s="6" t="s">
        <v>120</v>
      </c>
      <c r="K95" s="58" t="s">
        <v>120</v>
      </c>
    </row>
    <row r="96" spans="1:11">
      <c r="A96" s="226" t="s">
        <v>343</v>
      </c>
      <c r="B96" s="26"/>
      <c r="C96" s="26"/>
      <c r="D96" s="4"/>
      <c r="E96" s="40"/>
      <c r="F96" s="4" t="s">
        <v>96</v>
      </c>
      <c r="G96" s="8">
        <f>$E$95/8*3.5</f>
        <v>0</v>
      </c>
      <c r="H96" s="48"/>
      <c r="I96" s="49">
        <f>2/8*3.5</f>
        <v>0.875</v>
      </c>
      <c r="J96" s="4"/>
      <c r="K96" s="59" t="s">
        <v>120</v>
      </c>
    </row>
    <row r="97" spans="1:11" ht="17" thickBot="1">
      <c r="A97" s="21"/>
      <c r="B97" s="28"/>
      <c r="C97" s="28"/>
      <c r="D97" s="5"/>
      <c r="E97" s="41"/>
      <c r="F97" s="5" t="s">
        <v>68</v>
      </c>
      <c r="G97" s="9">
        <f>$E$95/8*4.5</f>
        <v>0</v>
      </c>
      <c r="H97" s="50"/>
      <c r="I97" s="51">
        <f>2/8*4.5</f>
        <v>1.125</v>
      </c>
      <c r="J97" s="5"/>
      <c r="K97" s="60" t="s">
        <v>120</v>
      </c>
    </row>
    <row r="98" spans="1:11" s="3" customFormat="1" ht="17" thickTop="1">
      <c r="A98" s="19" t="s">
        <v>259</v>
      </c>
      <c r="B98" s="29" t="s">
        <v>93</v>
      </c>
      <c r="C98" s="29" t="s">
        <v>179</v>
      </c>
      <c r="D98" s="10" t="s">
        <v>76</v>
      </c>
      <c r="E98" s="74">
        <v>0</v>
      </c>
      <c r="F98" s="10" t="s">
        <v>324</v>
      </c>
      <c r="G98" s="11">
        <f>$E$98*1</f>
        <v>0</v>
      </c>
      <c r="H98" s="10" t="s">
        <v>181</v>
      </c>
      <c r="I98" s="56">
        <f>0.562/16*1</f>
        <v>3.5125000000000003E-2</v>
      </c>
      <c r="J98" s="12" t="s">
        <v>119</v>
      </c>
      <c r="K98" s="70">
        <f>0.15/16*1</f>
        <v>9.3749999999999997E-3</v>
      </c>
    </row>
    <row r="99" spans="1:11" s="3" customFormat="1">
      <c r="A99" s="226" t="s">
        <v>344</v>
      </c>
      <c r="B99" s="30" t="s">
        <v>178</v>
      </c>
      <c r="C99" s="30" t="s">
        <v>180</v>
      </c>
      <c r="D99" s="12"/>
      <c r="E99" s="42"/>
      <c r="F99" s="12" t="s">
        <v>94</v>
      </c>
      <c r="G99" s="13">
        <f>$E$98*1.25</f>
        <v>0</v>
      </c>
      <c r="H99" s="64"/>
      <c r="I99" s="56">
        <f>0.562/16*1.25</f>
        <v>4.3906250000000008E-2</v>
      </c>
      <c r="J99" s="12"/>
      <c r="K99" s="70">
        <f>0.15/16*1.25</f>
        <v>1.171875E-2</v>
      </c>
    </row>
    <row r="100" spans="1:11" s="3" customFormat="1" ht="17" thickBot="1">
      <c r="A100" s="21"/>
      <c r="B100" s="31"/>
      <c r="C100" s="31"/>
      <c r="D100" s="14"/>
      <c r="E100" s="43"/>
      <c r="F100" s="14" t="s">
        <v>325</v>
      </c>
      <c r="G100" s="15">
        <f>$E$98*1.5</f>
        <v>0</v>
      </c>
      <c r="H100" s="65"/>
      <c r="I100" s="56">
        <f>0.562/16*1.5</f>
        <v>5.2687500000000005E-2</v>
      </c>
      <c r="J100" s="14"/>
      <c r="K100" s="70">
        <f>0.15/16*1.5</f>
        <v>1.4062499999999999E-2</v>
      </c>
    </row>
    <row r="101" spans="1:11" s="3" customFormat="1" ht="19" thickTop="1">
      <c r="A101" s="19" t="s">
        <v>260</v>
      </c>
      <c r="B101" s="29" t="s">
        <v>233</v>
      </c>
      <c r="C101" s="29" t="s">
        <v>234</v>
      </c>
      <c r="D101" s="10" t="s">
        <v>3</v>
      </c>
      <c r="E101" s="74">
        <v>0</v>
      </c>
      <c r="F101" s="10" t="s">
        <v>235</v>
      </c>
      <c r="G101" s="11">
        <f>$E$101/8*1.1</f>
        <v>0</v>
      </c>
      <c r="H101" s="75" t="s">
        <v>236</v>
      </c>
      <c r="I101" s="55">
        <f>3.8/8*1.1</f>
        <v>0.52249999999999996</v>
      </c>
      <c r="J101" s="12" t="s">
        <v>120</v>
      </c>
      <c r="K101" s="69" t="s">
        <v>120</v>
      </c>
    </row>
    <row r="102" spans="1:11" s="3" customFormat="1">
      <c r="A102" s="20" t="s">
        <v>237</v>
      </c>
      <c r="B102" s="30"/>
      <c r="C102" s="30"/>
      <c r="D102" s="12"/>
      <c r="E102" s="42"/>
      <c r="F102" s="12" t="s">
        <v>6</v>
      </c>
      <c r="G102" s="13">
        <f>$E$101/8*2</f>
        <v>0</v>
      </c>
      <c r="H102" s="64"/>
      <c r="I102" s="56">
        <f>3.8/8*2</f>
        <v>0.95</v>
      </c>
      <c r="J102" s="12"/>
      <c r="K102" s="70" t="s">
        <v>120</v>
      </c>
    </row>
    <row r="103" spans="1:11" s="3" customFormat="1">
      <c r="A103" s="226" t="s">
        <v>344</v>
      </c>
      <c r="B103" s="30"/>
      <c r="C103" s="30"/>
      <c r="D103" s="12"/>
      <c r="E103" s="42"/>
      <c r="F103" s="12" t="s">
        <v>7</v>
      </c>
      <c r="G103" s="13">
        <f>$E$101/8*3</f>
        <v>0</v>
      </c>
      <c r="H103" s="64"/>
      <c r="I103" s="56">
        <f>3.8/8*3</f>
        <v>1.4249999999999998</v>
      </c>
      <c r="J103" s="12"/>
      <c r="K103" s="70" t="s">
        <v>120</v>
      </c>
    </row>
    <row r="104" spans="1:11" s="3" customFormat="1" ht="17" thickBot="1">
      <c r="A104" s="21"/>
      <c r="B104" s="31"/>
      <c r="C104" s="31"/>
      <c r="D104" s="14"/>
      <c r="E104" s="43"/>
      <c r="F104" s="14" t="s">
        <v>101</v>
      </c>
      <c r="G104" s="15">
        <f>$E$101/8*4.2</f>
        <v>0</v>
      </c>
      <c r="H104" s="65"/>
      <c r="I104" s="57">
        <f>3.8/8*4.2</f>
        <v>1.9949999999999999</v>
      </c>
      <c r="J104" s="14"/>
      <c r="K104" s="60" t="s">
        <v>120</v>
      </c>
    </row>
    <row r="105" spans="1:11" ht="17" thickTop="1">
      <c r="A105" s="19" t="s">
        <v>255</v>
      </c>
      <c r="B105" s="27" t="s">
        <v>106</v>
      </c>
      <c r="C105" s="27" t="s">
        <v>182</v>
      </c>
      <c r="D105" s="6" t="s">
        <v>76</v>
      </c>
      <c r="E105" s="38">
        <v>0</v>
      </c>
      <c r="F105" s="6" t="s">
        <v>107</v>
      </c>
      <c r="G105" s="7">
        <f>$E$105*1.33</f>
        <v>0</v>
      </c>
      <c r="H105" s="6" t="s">
        <v>183</v>
      </c>
      <c r="I105" s="53">
        <f>0.75/16*1.33</f>
        <v>6.2343750000000003E-2</v>
      </c>
      <c r="J105" s="6" t="s">
        <v>120</v>
      </c>
      <c r="K105" s="58" t="s">
        <v>120</v>
      </c>
    </row>
    <row r="106" spans="1:11" ht="17" thickBot="1">
      <c r="A106" s="227" t="s">
        <v>342</v>
      </c>
      <c r="B106" s="28"/>
      <c r="C106" s="28"/>
      <c r="D106" s="5"/>
      <c r="E106" s="41"/>
      <c r="F106" s="5" t="s">
        <v>326</v>
      </c>
      <c r="G106" s="9">
        <f>$E$105*2</f>
        <v>0</v>
      </c>
      <c r="H106" s="50"/>
      <c r="I106" s="51">
        <f>0.75/16*2</f>
        <v>9.375E-2</v>
      </c>
      <c r="J106" s="5"/>
      <c r="K106" s="60" t="s">
        <v>120</v>
      </c>
    </row>
    <row r="107" spans="1:11" ht="17" thickTop="1"/>
  </sheetData>
  <sheetProtection algorithmName="SHA-512" hashValue="S7mNFstxkRVWKcSn3btsfKTujUx9Z6LINAMbGevzasHcmVjMAr0TUb0WgkXAXsqjHQ78uGl0sZuIvcBYUtkmrg==" saltValue="27OR9nftxeb31q1e9+sFng==" spinCount="100000" sheet="1" objects="1" scenarios="1"/>
  <pageMargins left="0.75" right="0.75" top="1.25" bottom="1" header="0.5" footer="0.5"/>
  <pageSetup scale="52" fitToHeight="8" orientation="landscape" horizontalDpi="4294967292" verticalDpi="4294967292"/>
  <headerFooter>
    <oddHeader>&amp;C&amp;"Calibri,Regular"&amp;K000000Herbicide Cost Per Acre Spreadsheet for Pastures and Hay Fields
Texas AgriLife Extension
J.P. Banta and V. Corriher-Olson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28"/>
  <sheetViews>
    <sheetView zoomScaleNormal="100" zoomScalePageLayoutView="150" workbookViewId="0">
      <selection activeCell="E28" sqref="E28"/>
    </sheetView>
  </sheetViews>
  <sheetFormatPr baseColWidth="10" defaultRowHeight="16"/>
  <cols>
    <col min="1" max="1" width="103.83203125" customWidth="1"/>
  </cols>
  <sheetData>
    <row r="1" spans="1:1" ht="24">
      <c r="A1" s="67" t="s">
        <v>295</v>
      </c>
    </row>
    <row r="2" spans="1:1" s="34" customFormat="1">
      <c r="A2" s="34" t="s">
        <v>341</v>
      </c>
    </row>
    <row r="3" spans="1:1" s="34" customFormat="1">
      <c r="A3" s="34" t="s">
        <v>184</v>
      </c>
    </row>
    <row r="4" spans="1:1" s="34" customFormat="1">
      <c r="A4" s="34" t="s">
        <v>217</v>
      </c>
    </row>
    <row r="5" spans="1:1" s="34" customFormat="1">
      <c r="A5" s="34" t="s">
        <v>145</v>
      </c>
    </row>
    <row r="6" spans="1:1" s="34" customFormat="1">
      <c r="A6" s="34" t="s">
        <v>247</v>
      </c>
    </row>
    <row r="7" spans="1:1" s="46" customFormat="1" ht="16" customHeight="1"/>
    <row r="8" spans="1:1" s="34" customFormat="1" ht="100" customHeight="1">
      <c r="A8" s="35" t="s">
        <v>340</v>
      </c>
    </row>
    <row r="9" spans="1:1" s="193" customFormat="1" ht="25" customHeight="1">
      <c r="A9" s="193" t="s">
        <v>296</v>
      </c>
    </row>
    <row r="10" spans="1:1" s="34" customFormat="1" ht="59" customHeight="1">
      <c r="A10" s="35" t="s">
        <v>297</v>
      </c>
    </row>
    <row r="11" spans="1:1" s="34" customFormat="1">
      <c r="A11" s="47"/>
    </row>
    <row r="12" spans="1:1" s="34" customFormat="1">
      <c r="A12" s="47" t="s">
        <v>109</v>
      </c>
    </row>
    <row r="13" spans="1:1" s="34" customFormat="1">
      <c r="A13" s="34" t="s">
        <v>218</v>
      </c>
    </row>
    <row r="14" spans="1:1" s="34" customFormat="1">
      <c r="A14" s="47"/>
    </row>
    <row r="15" spans="1:1" s="34" customFormat="1" ht="21" customHeight="1">
      <c r="A15" s="34" t="s">
        <v>320</v>
      </c>
    </row>
    <row r="16" spans="1:1" s="34" customFormat="1" ht="24" customHeight="1">
      <c r="A16" s="37" t="s">
        <v>146</v>
      </c>
    </row>
    <row r="17" spans="1:1" s="34" customFormat="1" ht="39" customHeight="1">
      <c r="A17" s="37" t="s">
        <v>147</v>
      </c>
    </row>
    <row r="18" spans="1:1" s="34" customFormat="1" ht="35" customHeight="1">
      <c r="A18" s="37" t="s">
        <v>151</v>
      </c>
    </row>
    <row r="19" spans="1:1" s="34" customFormat="1" ht="23" customHeight="1">
      <c r="A19" s="37" t="s">
        <v>315</v>
      </c>
    </row>
    <row r="20" spans="1:1" s="34" customFormat="1" ht="23" customHeight="1">
      <c r="A20" s="37" t="s">
        <v>321</v>
      </c>
    </row>
    <row r="21" spans="1:1" s="34" customFormat="1" ht="52" customHeight="1">
      <c r="A21" s="37" t="s">
        <v>322</v>
      </c>
    </row>
    <row r="22" spans="1:1" s="34" customFormat="1" ht="21" customHeight="1">
      <c r="A22" s="37" t="s">
        <v>316</v>
      </c>
    </row>
    <row r="23" spans="1:1" s="34" customFormat="1" ht="102" customHeight="1">
      <c r="A23" s="36" t="s">
        <v>317</v>
      </c>
    </row>
    <row r="24" spans="1:1" s="34" customFormat="1" ht="35" customHeight="1">
      <c r="A24" s="33" t="s">
        <v>318</v>
      </c>
    </row>
    <row r="25" spans="1:1" s="34" customFormat="1" ht="21" customHeight="1">
      <c r="A25" s="33" t="s">
        <v>319</v>
      </c>
    </row>
    <row r="26" spans="1:1" s="34" customFormat="1" ht="39" customHeight="1">
      <c r="A26" s="33" t="s">
        <v>360</v>
      </c>
    </row>
    <row r="27" spans="1:1" s="34" customFormat="1" ht="45" customHeight="1">
      <c r="A27" s="33" t="s">
        <v>361</v>
      </c>
    </row>
    <row r="28" spans="1:1" ht="51">
      <c r="A28" s="188" t="s">
        <v>323</v>
      </c>
    </row>
  </sheetData>
  <sheetProtection algorithmName="SHA-512" hashValue="C6WPlpdfbRmfG5wC2CyUIXcEajmW/d4stws+etBsU/HUmWVD5WPz3e/uQ4zLqrRTmSorVrF6XgQCQ8U5qJoIxQ==" saltValue="mLzHowoMDk5dU27bNmE3bQ==" spinCount="100000" sheet="1" objects="1" scenarios="1"/>
  <phoneticPr fontId="7" type="noConversion"/>
  <hyperlinks>
    <hyperlink ref="A9" r:id="rId1" xr:uid="{BFDFB673-5D16-EB42-8663-FC406FC3D167}"/>
  </hyperlinks>
  <pageMargins left="0.5" right="0.5" top="1" bottom="0.5" header="0" footer="0.5"/>
  <pageSetup scale="88" orientation="portrait" horizontalDpi="4294967292" verticalDpi="4294967292"/>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7"/>
  <sheetViews>
    <sheetView tabSelected="1" zoomScaleNormal="100" workbookViewId="0">
      <pane ySplit="1" topLeftCell="A11" activePane="bottomLeft" state="frozen"/>
      <selection pane="bottomLeft" activeCell="M50" sqref="M50"/>
    </sheetView>
  </sheetViews>
  <sheetFormatPr baseColWidth="10" defaultRowHeight="16"/>
  <cols>
    <col min="1" max="1" width="29.83203125" customWidth="1"/>
    <col min="2" max="2" width="32.1640625" style="32" customWidth="1"/>
    <col min="3" max="3" width="28.1640625" style="32" customWidth="1"/>
    <col min="4" max="4" width="15.33203125" style="102" customWidth="1"/>
    <col min="5" max="5" width="17.5" style="102" customWidth="1"/>
    <col min="6" max="6" width="12.6640625" style="1" bestFit="1" customWidth="1"/>
    <col min="7" max="7" width="11.5" style="1" bestFit="1" customWidth="1"/>
    <col min="8" max="8" width="13.1640625" style="1" customWidth="1"/>
    <col min="9" max="9" width="12.6640625" style="44" bestFit="1" customWidth="1"/>
    <col min="10" max="10" width="15.83203125" style="1" bestFit="1" customWidth="1"/>
    <col min="11" max="11" width="16.1640625" style="1" customWidth="1"/>
    <col min="12" max="12" width="15.83203125" style="224" bestFit="1" customWidth="1"/>
    <col min="13" max="13" width="16.1640625" style="224" customWidth="1"/>
    <col min="14" max="14" width="17.83203125" style="224" customWidth="1"/>
    <col min="15" max="15" width="16.1640625" style="224" customWidth="1"/>
  </cols>
  <sheetData>
    <row r="1" spans="1:15" s="2" customFormat="1" ht="56" customHeight="1" thickBot="1">
      <c r="A1" s="22" t="s">
        <v>2</v>
      </c>
      <c r="B1" s="25" t="s">
        <v>121</v>
      </c>
      <c r="C1" s="25" t="s">
        <v>122</v>
      </c>
      <c r="D1" s="23" t="s">
        <v>298</v>
      </c>
      <c r="E1" s="23" t="s">
        <v>239</v>
      </c>
      <c r="F1" s="23" t="s">
        <v>124</v>
      </c>
      <c r="G1" s="23" t="s">
        <v>125</v>
      </c>
      <c r="H1" s="23" t="s">
        <v>73</v>
      </c>
      <c r="I1" s="39" t="s">
        <v>0</v>
      </c>
      <c r="J1" s="23" t="s">
        <v>4</v>
      </c>
      <c r="K1" s="24" t="s">
        <v>123</v>
      </c>
      <c r="L1" s="23" t="s">
        <v>345</v>
      </c>
      <c r="M1" s="24" t="s">
        <v>346</v>
      </c>
      <c r="N1" s="23" t="s">
        <v>345</v>
      </c>
      <c r="O1" s="24" t="s">
        <v>346</v>
      </c>
    </row>
    <row r="2" spans="1:15" ht="17" thickTop="1">
      <c r="A2" s="17" t="s">
        <v>299</v>
      </c>
      <c r="B2" s="27" t="s">
        <v>139</v>
      </c>
      <c r="C2" s="27" t="s">
        <v>140</v>
      </c>
      <c r="D2" s="6">
        <v>1</v>
      </c>
      <c r="E2" s="6" t="s">
        <v>240</v>
      </c>
      <c r="F2" s="6" t="s">
        <v>127</v>
      </c>
      <c r="G2" s="6" t="s">
        <v>127</v>
      </c>
      <c r="H2" s="6" t="s">
        <v>3</v>
      </c>
      <c r="I2" s="66">
        <v>0</v>
      </c>
      <c r="J2" s="6" t="s">
        <v>143</v>
      </c>
      <c r="K2" s="7">
        <f>$I$2/4*0.5</f>
        <v>0</v>
      </c>
      <c r="L2" s="6" t="s">
        <v>347</v>
      </c>
      <c r="M2" s="228">
        <f>4/4*0.5</f>
        <v>0.5</v>
      </c>
      <c r="N2" s="6" t="s">
        <v>120</v>
      </c>
      <c r="O2" s="228" t="s">
        <v>120</v>
      </c>
    </row>
    <row r="3" spans="1:15">
      <c r="A3" s="16"/>
      <c r="B3" s="26"/>
      <c r="C3" s="26"/>
      <c r="D3" s="4"/>
      <c r="E3" s="4"/>
      <c r="F3" s="4"/>
      <c r="G3" s="4"/>
      <c r="H3" s="4"/>
      <c r="I3" s="40"/>
      <c r="J3" s="4" t="s">
        <v>142</v>
      </c>
      <c r="K3" s="8">
        <f>$I$2/4*1</f>
        <v>0</v>
      </c>
      <c r="L3" s="4"/>
      <c r="M3" s="229">
        <f>4/4*1</f>
        <v>1</v>
      </c>
      <c r="N3" s="4"/>
      <c r="O3" s="229" t="s">
        <v>120</v>
      </c>
    </row>
    <row r="4" spans="1:15" ht="17" thickBot="1">
      <c r="A4" s="18"/>
      <c r="B4" s="28"/>
      <c r="C4" s="28"/>
      <c r="D4" s="5"/>
      <c r="E4" s="5"/>
      <c r="F4" s="5"/>
      <c r="G4" s="5"/>
      <c r="H4" s="5"/>
      <c r="I4" s="41"/>
      <c r="J4" s="5" t="s">
        <v>141</v>
      </c>
      <c r="K4" s="9">
        <f>$I$2/4*1.5</f>
        <v>0</v>
      </c>
      <c r="L4" s="5"/>
      <c r="M4" s="229">
        <f>4/4*1.5</f>
        <v>1.5</v>
      </c>
      <c r="N4" s="5"/>
      <c r="O4" s="229" t="s">
        <v>120</v>
      </c>
    </row>
    <row r="5" spans="1:15" ht="17" thickTop="1">
      <c r="A5" s="17" t="s">
        <v>300</v>
      </c>
      <c r="B5" s="27" t="s">
        <v>148</v>
      </c>
      <c r="C5" s="27" t="s">
        <v>359</v>
      </c>
      <c r="D5" s="6">
        <v>1</v>
      </c>
      <c r="E5" s="6" t="s">
        <v>241</v>
      </c>
      <c r="F5" s="6" t="s">
        <v>127</v>
      </c>
      <c r="G5" s="6" t="s">
        <v>127</v>
      </c>
      <c r="H5" s="6" t="s">
        <v>3</v>
      </c>
      <c r="I5" s="66">
        <v>0</v>
      </c>
      <c r="J5" s="6" t="s">
        <v>149</v>
      </c>
      <c r="K5" s="7">
        <f>$I$5/8*1.5</f>
        <v>0</v>
      </c>
      <c r="L5" s="6" t="s">
        <v>348</v>
      </c>
      <c r="M5" s="228">
        <f>5/8*1.5</f>
        <v>0.9375</v>
      </c>
      <c r="N5" s="6" t="s">
        <v>120</v>
      </c>
      <c r="O5" s="228" t="s">
        <v>120</v>
      </c>
    </row>
    <row r="6" spans="1:15" ht="17" thickBot="1">
      <c r="A6" s="18"/>
      <c r="B6" s="28"/>
      <c r="C6" s="28"/>
      <c r="D6" s="5"/>
      <c r="E6" s="5"/>
      <c r="F6" s="5"/>
      <c r="G6" s="5"/>
      <c r="H6" s="5"/>
      <c r="I6" s="41"/>
      <c r="J6" s="5" t="s">
        <v>150</v>
      </c>
      <c r="K6" s="9">
        <f>$I$5/8*2</f>
        <v>0</v>
      </c>
      <c r="L6" s="5"/>
      <c r="M6" s="230">
        <f>5/8*2</f>
        <v>1.25</v>
      </c>
      <c r="N6" s="5"/>
      <c r="O6" s="230" t="s">
        <v>120</v>
      </c>
    </row>
    <row r="7" spans="1:15" s="3" customFormat="1" ht="17" thickTop="1">
      <c r="A7" s="84" t="s">
        <v>301</v>
      </c>
      <c r="B7" s="85" t="s">
        <v>162</v>
      </c>
      <c r="C7" s="85" t="s">
        <v>126</v>
      </c>
      <c r="D7" s="103">
        <v>3</v>
      </c>
      <c r="E7" s="103" t="s">
        <v>242</v>
      </c>
      <c r="F7" s="103" t="s">
        <v>127</v>
      </c>
      <c r="G7" s="103" t="s">
        <v>127</v>
      </c>
      <c r="H7" s="103" t="s">
        <v>3</v>
      </c>
      <c r="I7" s="179">
        <v>0</v>
      </c>
      <c r="J7" s="103" t="s">
        <v>128</v>
      </c>
      <c r="K7" s="105">
        <f>$I$7/128*1.6</f>
        <v>0</v>
      </c>
      <c r="L7" s="103" t="s">
        <v>349</v>
      </c>
      <c r="M7" s="108">
        <f>1/128*1.6</f>
        <v>1.2500000000000001E-2</v>
      </c>
      <c r="N7" s="103" t="s">
        <v>120</v>
      </c>
      <c r="O7" s="108" t="s">
        <v>120</v>
      </c>
    </row>
    <row r="8" spans="1:15" s="3" customFormat="1">
      <c r="A8" s="87"/>
      <c r="B8" s="86"/>
      <c r="C8" s="86"/>
      <c r="D8" s="107"/>
      <c r="E8" s="107"/>
      <c r="F8" s="107"/>
      <c r="G8" s="107"/>
      <c r="H8" s="107"/>
      <c r="I8" s="180"/>
      <c r="J8" s="107" t="s">
        <v>129</v>
      </c>
      <c r="K8" s="110">
        <f>$I$7/128*1.9</f>
        <v>0</v>
      </c>
      <c r="L8" s="107"/>
      <c r="M8" s="113">
        <f>1/128*1.9</f>
        <v>1.4843749999999999E-2</v>
      </c>
      <c r="N8" s="107"/>
      <c r="O8" s="113" t="s">
        <v>120</v>
      </c>
    </row>
    <row r="9" spans="1:15">
      <c r="A9" s="87"/>
      <c r="B9" s="86"/>
      <c r="C9" s="86"/>
      <c r="D9" s="107"/>
      <c r="E9" s="107"/>
      <c r="F9" s="107"/>
      <c r="G9" s="107"/>
      <c r="H9" s="107"/>
      <c r="I9" s="180"/>
      <c r="J9" s="107" t="s">
        <v>130</v>
      </c>
      <c r="K9" s="110">
        <f>$I$7/128*2.6</f>
        <v>0</v>
      </c>
      <c r="L9" s="107"/>
      <c r="M9" s="113">
        <f>1/128*2.6</f>
        <v>2.0312500000000001E-2</v>
      </c>
      <c r="N9" s="107"/>
      <c r="O9" s="113" t="s">
        <v>120</v>
      </c>
    </row>
    <row r="10" spans="1:15" ht="17" thickBot="1">
      <c r="A10" s="181"/>
      <c r="B10" s="182"/>
      <c r="C10" s="182"/>
      <c r="D10" s="183"/>
      <c r="E10" s="183"/>
      <c r="F10" s="183"/>
      <c r="G10" s="183"/>
      <c r="H10" s="183"/>
      <c r="I10" s="184"/>
      <c r="J10" s="183" t="s">
        <v>131</v>
      </c>
      <c r="K10" s="185">
        <f>$I$7/128*2.8</f>
        <v>0</v>
      </c>
      <c r="L10" s="183"/>
      <c r="M10" s="119">
        <f>1/128*2.8</f>
        <v>2.1874999999999999E-2</v>
      </c>
      <c r="N10" s="183"/>
      <c r="O10" s="119" t="s">
        <v>120</v>
      </c>
    </row>
    <row r="11" spans="1:15" ht="17" thickTop="1">
      <c r="A11" s="84" t="s">
        <v>302</v>
      </c>
      <c r="B11" s="85" t="s">
        <v>163</v>
      </c>
      <c r="C11" s="85" t="s">
        <v>144</v>
      </c>
      <c r="D11" s="103">
        <v>3</v>
      </c>
      <c r="E11" s="103" t="s">
        <v>242</v>
      </c>
      <c r="F11" s="103" t="s">
        <v>127</v>
      </c>
      <c r="G11" s="103" t="s">
        <v>127</v>
      </c>
      <c r="H11" s="103" t="s">
        <v>3</v>
      </c>
      <c r="I11" s="179">
        <v>0</v>
      </c>
      <c r="J11" s="103" t="s">
        <v>128</v>
      </c>
      <c r="K11" s="105">
        <f>$I$11/128*1.6</f>
        <v>0</v>
      </c>
      <c r="L11" s="103" t="s">
        <v>350</v>
      </c>
      <c r="M11" s="113">
        <f>1/128*1.6</f>
        <v>1.2500000000000001E-2</v>
      </c>
      <c r="N11" s="103" t="s">
        <v>120</v>
      </c>
      <c r="O11" s="113" t="s">
        <v>120</v>
      </c>
    </row>
    <row r="12" spans="1:15">
      <c r="A12" s="87"/>
      <c r="B12" s="86"/>
      <c r="C12" s="86"/>
      <c r="D12" s="107"/>
      <c r="E12" s="107"/>
      <c r="F12" s="107"/>
      <c r="G12" s="107"/>
      <c r="H12" s="107"/>
      <c r="I12" s="109"/>
      <c r="J12" s="107" t="s">
        <v>129</v>
      </c>
      <c r="K12" s="110">
        <f>$I$11/128*1.9</f>
        <v>0</v>
      </c>
      <c r="L12" s="107"/>
      <c r="M12" s="113">
        <f>1/128*1.9</f>
        <v>1.4843749999999999E-2</v>
      </c>
      <c r="N12" s="107"/>
      <c r="O12" s="113" t="s">
        <v>120</v>
      </c>
    </row>
    <row r="13" spans="1:15">
      <c r="A13" s="87"/>
      <c r="B13" s="86"/>
      <c r="C13" s="86"/>
      <c r="D13" s="107"/>
      <c r="E13" s="107"/>
      <c r="F13" s="107"/>
      <c r="G13" s="107"/>
      <c r="H13" s="107"/>
      <c r="I13" s="109"/>
      <c r="J13" s="107" t="s">
        <v>130</v>
      </c>
      <c r="K13" s="110">
        <f>$I$11/128*2.6</f>
        <v>0</v>
      </c>
      <c r="L13" s="107"/>
      <c r="M13" s="113">
        <f>1/128*2.6</f>
        <v>2.0312500000000001E-2</v>
      </c>
      <c r="N13" s="107"/>
      <c r="O13" s="113" t="s">
        <v>120</v>
      </c>
    </row>
    <row r="14" spans="1:15" ht="17" thickBot="1">
      <c r="A14" s="88"/>
      <c r="B14" s="89"/>
      <c r="C14" s="89"/>
      <c r="D14" s="114"/>
      <c r="E14" s="114"/>
      <c r="F14" s="114"/>
      <c r="G14" s="114"/>
      <c r="H14" s="114"/>
      <c r="I14" s="115"/>
      <c r="J14" s="183" t="s">
        <v>131</v>
      </c>
      <c r="K14" s="116">
        <f>$I$11/128*2.8</f>
        <v>0</v>
      </c>
      <c r="L14" s="183"/>
      <c r="M14" s="113">
        <f>1/128*2.8</f>
        <v>2.1874999999999999E-2</v>
      </c>
      <c r="N14" s="183"/>
      <c r="O14" s="113" t="s">
        <v>120</v>
      </c>
    </row>
    <row r="15" spans="1:15" ht="17" thickTop="1">
      <c r="A15" s="84" t="s">
        <v>303</v>
      </c>
      <c r="B15" s="85" t="s">
        <v>164</v>
      </c>
      <c r="C15" s="85" t="s">
        <v>144</v>
      </c>
      <c r="D15" s="103">
        <v>3</v>
      </c>
      <c r="E15" s="103" t="s">
        <v>242</v>
      </c>
      <c r="F15" s="103" t="s">
        <v>127</v>
      </c>
      <c r="G15" s="103" t="s">
        <v>127</v>
      </c>
      <c r="H15" s="103" t="s">
        <v>3</v>
      </c>
      <c r="I15" s="179">
        <v>0</v>
      </c>
      <c r="J15" s="103" t="s">
        <v>128</v>
      </c>
      <c r="K15" s="105">
        <f>$I$15/128*1.6</f>
        <v>0</v>
      </c>
      <c r="L15" s="103" t="s">
        <v>350</v>
      </c>
      <c r="M15" s="108">
        <f>1/128*1.6</f>
        <v>1.2500000000000001E-2</v>
      </c>
      <c r="N15" s="103" t="s">
        <v>120</v>
      </c>
      <c r="O15" s="108" t="s">
        <v>120</v>
      </c>
    </row>
    <row r="16" spans="1:15">
      <c r="A16" s="87"/>
      <c r="B16" s="86"/>
      <c r="C16" s="86"/>
      <c r="D16" s="107"/>
      <c r="E16" s="107"/>
      <c r="F16" s="107"/>
      <c r="G16" s="107"/>
      <c r="H16" s="107"/>
      <c r="I16" s="109"/>
      <c r="J16" s="107" t="s">
        <v>129</v>
      </c>
      <c r="K16" s="110">
        <f>$I$15/128*1.9</f>
        <v>0</v>
      </c>
      <c r="L16" s="107"/>
      <c r="M16" s="113">
        <f>1/128*1.9</f>
        <v>1.4843749999999999E-2</v>
      </c>
      <c r="N16" s="107"/>
      <c r="O16" s="113" t="s">
        <v>120</v>
      </c>
    </row>
    <row r="17" spans="1:15">
      <c r="A17" s="87"/>
      <c r="B17" s="86"/>
      <c r="C17" s="86"/>
      <c r="D17" s="107"/>
      <c r="E17" s="107"/>
      <c r="F17" s="107"/>
      <c r="G17" s="107"/>
      <c r="H17" s="107"/>
      <c r="I17" s="109"/>
      <c r="J17" s="107" t="s">
        <v>130</v>
      </c>
      <c r="K17" s="110">
        <f>$I$15/128*2.6</f>
        <v>0</v>
      </c>
      <c r="L17" s="107"/>
      <c r="M17" s="113">
        <f>1/128*2.6</f>
        <v>2.0312500000000001E-2</v>
      </c>
      <c r="N17" s="107"/>
      <c r="O17" s="113" t="s">
        <v>120</v>
      </c>
    </row>
    <row r="18" spans="1:15" ht="17" thickBot="1">
      <c r="A18" s="88"/>
      <c r="B18" s="89"/>
      <c r="C18" s="89"/>
      <c r="D18" s="114"/>
      <c r="E18" s="114"/>
      <c r="F18" s="114"/>
      <c r="G18" s="114"/>
      <c r="H18" s="114"/>
      <c r="I18" s="115"/>
      <c r="J18" s="183" t="s">
        <v>131</v>
      </c>
      <c r="K18" s="116">
        <f>$I$15/128*2.8</f>
        <v>0</v>
      </c>
      <c r="L18" s="183"/>
      <c r="M18" s="113">
        <f>1/128*2.8</f>
        <v>2.1874999999999999E-2</v>
      </c>
      <c r="N18" s="183"/>
      <c r="O18" s="113" t="s">
        <v>120</v>
      </c>
    </row>
    <row r="19" spans="1:15" ht="17" thickTop="1">
      <c r="A19" s="87" t="s">
        <v>333</v>
      </c>
      <c r="B19" s="86" t="s">
        <v>334</v>
      </c>
      <c r="C19" s="86" t="s">
        <v>335</v>
      </c>
      <c r="D19" s="107">
        <v>3</v>
      </c>
      <c r="E19" s="107" t="s">
        <v>242</v>
      </c>
      <c r="F19" s="107" t="s">
        <v>127</v>
      </c>
      <c r="G19" s="107" t="s">
        <v>127</v>
      </c>
      <c r="H19" s="107" t="s">
        <v>3</v>
      </c>
      <c r="I19" s="225">
        <v>0</v>
      </c>
      <c r="J19" s="223" t="s">
        <v>331</v>
      </c>
      <c r="K19" s="105">
        <f>$I$19/128*1.02</f>
        <v>0</v>
      </c>
      <c r="L19" s="223" t="s">
        <v>351</v>
      </c>
      <c r="M19" s="108">
        <f>1.25/128*1.02</f>
        <v>9.9609374999999993E-3</v>
      </c>
      <c r="N19" s="223" t="s">
        <v>120</v>
      </c>
      <c r="O19" s="108" t="s">
        <v>120</v>
      </c>
    </row>
    <row r="20" spans="1:15">
      <c r="A20" s="87"/>
      <c r="B20" s="86"/>
      <c r="C20" s="86"/>
      <c r="D20" s="107"/>
      <c r="E20" s="107"/>
      <c r="F20" s="107"/>
      <c r="G20" s="107"/>
      <c r="H20" s="107"/>
      <c r="I20" s="109"/>
      <c r="J20" s="223" t="s">
        <v>155</v>
      </c>
      <c r="K20" s="110">
        <f>$I$19/128*1.28</f>
        <v>0</v>
      </c>
      <c r="L20" s="223"/>
      <c r="M20" s="113">
        <f>1.25/128*1.28</f>
        <v>1.2500000000000001E-2</v>
      </c>
      <c r="N20" s="223"/>
      <c r="O20" s="113" t="s">
        <v>120</v>
      </c>
    </row>
    <row r="21" spans="1:15" ht="17" thickBot="1">
      <c r="A21" s="87"/>
      <c r="B21" s="86"/>
      <c r="C21" s="86"/>
      <c r="D21" s="107"/>
      <c r="E21" s="107"/>
      <c r="F21" s="107"/>
      <c r="G21" s="107"/>
      <c r="H21" s="107"/>
      <c r="I21" s="109"/>
      <c r="J21" s="223" t="s">
        <v>332</v>
      </c>
      <c r="K21" s="116">
        <f>$I$19/128*1.54</f>
        <v>0</v>
      </c>
      <c r="L21" s="223"/>
      <c r="M21" s="113">
        <f>1.25/128*1.54</f>
        <v>1.50390625E-2</v>
      </c>
      <c r="N21" s="223"/>
      <c r="O21" s="113" t="s">
        <v>120</v>
      </c>
    </row>
    <row r="22" spans="1:15" ht="17" thickTop="1">
      <c r="A22" s="234" t="s">
        <v>312</v>
      </c>
      <c r="B22" s="85" t="s">
        <v>219</v>
      </c>
      <c r="C22" s="85" t="s">
        <v>132</v>
      </c>
      <c r="D22" s="103">
        <v>3</v>
      </c>
      <c r="E22" s="103" t="s">
        <v>242</v>
      </c>
      <c r="F22" s="103" t="s">
        <v>127</v>
      </c>
      <c r="G22" s="103" t="s">
        <v>127</v>
      </c>
      <c r="H22" s="103" t="s">
        <v>3</v>
      </c>
      <c r="I22" s="179">
        <v>0</v>
      </c>
      <c r="J22" s="103" t="s">
        <v>133</v>
      </c>
      <c r="K22" s="105">
        <f>$I$22/128*2.56</f>
        <v>0</v>
      </c>
      <c r="L22" s="103" t="s">
        <v>352</v>
      </c>
      <c r="M22" s="108">
        <f>1/128*2.56</f>
        <v>0.02</v>
      </c>
      <c r="N22" s="103" t="s">
        <v>120</v>
      </c>
      <c r="O22" s="108" t="s">
        <v>120</v>
      </c>
    </row>
    <row r="23" spans="1:15">
      <c r="A23" s="235"/>
      <c r="B23" s="86"/>
      <c r="C23" s="86"/>
      <c r="D23" s="107"/>
      <c r="E23" s="107"/>
      <c r="F23" s="107"/>
      <c r="G23" s="107"/>
      <c r="H23" s="107"/>
      <c r="I23" s="109"/>
      <c r="J23" s="107" t="s">
        <v>313</v>
      </c>
      <c r="K23" s="110">
        <f>$I$22/128*3</f>
        <v>0</v>
      </c>
      <c r="L23" s="107"/>
      <c r="M23" s="113">
        <f>1/128*3</f>
        <v>2.34375E-2</v>
      </c>
      <c r="N23" s="107"/>
      <c r="O23" s="113" t="s">
        <v>120</v>
      </c>
    </row>
    <row r="24" spans="1:15" ht="17" thickBot="1">
      <c r="A24" s="236"/>
      <c r="B24" s="89"/>
      <c r="C24" s="89"/>
      <c r="D24" s="114"/>
      <c r="E24" s="114"/>
      <c r="F24" s="114"/>
      <c r="G24" s="114"/>
      <c r="H24" s="114"/>
      <c r="I24" s="115"/>
      <c r="J24" s="114" t="s">
        <v>134</v>
      </c>
      <c r="K24" s="116">
        <f>$I$22/128*3.84</f>
        <v>0</v>
      </c>
      <c r="L24" s="114"/>
      <c r="M24" s="113">
        <f>1/128*3.84</f>
        <v>0.03</v>
      </c>
      <c r="N24" s="114"/>
      <c r="O24" s="113" t="s">
        <v>120</v>
      </c>
    </row>
    <row r="25" spans="1:15" ht="17" thickTop="1">
      <c r="A25" s="84" t="s">
        <v>304</v>
      </c>
      <c r="B25" s="85" t="s">
        <v>153</v>
      </c>
      <c r="C25" s="85" t="s">
        <v>154</v>
      </c>
      <c r="D25" s="103">
        <v>3</v>
      </c>
      <c r="E25" s="103" t="s">
        <v>242</v>
      </c>
      <c r="F25" s="103" t="s">
        <v>127</v>
      </c>
      <c r="G25" s="103" t="s">
        <v>127</v>
      </c>
      <c r="H25" s="103" t="s">
        <v>3</v>
      </c>
      <c r="I25" s="179">
        <v>0</v>
      </c>
      <c r="J25" s="103" t="s">
        <v>155</v>
      </c>
      <c r="K25" s="105">
        <f>$I$25/128*1.28</f>
        <v>0</v>
      </c>
      <c r="L25" s="103" t="s">
        <v>352</v>
      </c>
      <c r="M25" s="108">
        <f>2.08/128*1.28</f>
        <v>2.0800000000000003E-2</v>
      </c>
      <c r="N25" s="103" t="s">
        <v>120</v>
      </c>
      <c r="O25" s="108" t="s">
        <v>120</v>
      </c>
    </row>
    <row r="26" spans="1:15">
      <c r="A26" s="87"/>
      <c r="B26" s="86"/>
      <c r="C26" s="86"/>
      <c r="D26" s="107"/>
      <c r="E26" s="107"/>
      <c r="F26" s="107"/>
      <c r="G26" s="107"/>
      <c r="H26" s="107"/>
      <c r="I26" s="109"/>
      <c r="J26" s="107" t="s">
        <v>314</v>
      </c>
      <c r="K26" s="110">
        <f>$I$25/128*1.6</f>
        <v>0</v>
      </c>
      <c r="L26" s="107"/>
      <c r="M26" s="113">
        <f>2.08/128*1.6</f>
        <v>2.6000000000000002E-2</v>
      </c>
      <c r="N26" s="107"/>
      <c r="O26" s="113" t="s">
        <v>120</v>
      </c>
    </row>
    <row r="27" spans="1:15" ht="17" thickBot="1">
      <c r="A27" s="88"/>
      <c r="B27" s="89"/>
      <c r="C27" s="89"/>
      <c r="D27" s="114"/>
      <c r="E27" s="114"/>
      <c r="F27" s="114"/>
      <c r="G27" s="114"/>
      <c r="H27" s="114"/>
      <c r="I27" s="115"/>
      <c r="J27" s="114" t="s">
        <v>156</v>
      </c>
      <c r="K27" s="116">
        <f>$I$25/128*1.92</f>
        <v>0</v>
      </c>
      <c r="L27" s="114"/>
      <c r="M27" s="113">
        <f>2.08/128*1.92</f>
        <v>3.1199999999999999E-2</v>
      </c>
      <c r="N27" s="114"/>
      <c r="O27" s="113" t="s">
        <v>120</v>
      </c>
    </row>
    <row r="28" spans="1:15" ht="17" thickTop="1">
      <c r="A28" s="84" t="s">
        <v>305</v>
      </c>
      <c r="B28" s="85" t="s">
        <v>204</v>
      </c>
      <c r="C28" s="85" t="s">
        <v>205</v>
      </c>
      <c r="D28" s="103">
        <v>3</v>
      </c>
      <c r="E28" s="103" t="s">
        <v>242</v>
      </c>
      <c r="F28" s="103" t="s">
        <v>127</v>
      </c>
      <c r="G28" s="103" t="s">
        <v>127</v>
      </c>
      <c r="H28" s="103" t="s">
        <v>3</v>
      </c>
      <c r="I28" s="179">
        <v>0</v>
      </c>
      <c r="J28" s="103" t="s">
        <v>131</v>
      </c>
      <c r="K28" s="105">
        <f>$I$28/128*2.8</f>
        <v>0</v>
      </c>
      <c r="L28" s="103" t="s">
        <v>353</v>
      </c>
      <c r="M28" s="108">
        <f>0.8/128*2.8</f>
        <v>1.7499999999999998E-2</v>
      </c>
      <c r="N28" s="103" t="s">
        <v>120</v>
      </c>
      <c r="O28" s="108" t="s">
        <v>120</v>
      </c>
    </row>
    <row r="29" spans="1:15">
      <c r="A29" s="87"/>
      <c r="B29" s="86"/>
      <c r="C29" s="86"/>
      <c r="D29" s="107"/>
      <c r="E29" s="107"/>
      <c r="F29" s="107"/>
      <c r="G29" s="107"/>
      <c r="H29" s="107"/>
      <c r="I29" s="109"/>
      <c r="J29" s="107" t="s">
        <v>24</v>
      </c>
      <c r="K29" s="110">
        <f>$I$28/128*3</f>
        <v>0</v>
      </c>
      <c r="L29" s="107"/>
      <c r="M29" s="113">
        <f>0.8/128*3</f>
        <v>1.8750000000000003E-2</v>
      </c>
      <c r="N29" s="107"/>
      <c r="O29" s="113" t="s">
        <v>120</v>
      </c>
    </row>
    <row r="30" spans="1:15" ht="17" thickBot="1">
      <c r="A30" s="88"/>
      <c r="B30" s="89"/>
      <c r="C30" s="89"/>
      <c r="D30" s="114"/>
      <c r="E30" s="114"/>
      <c r="F30" s="114"/>
      <c r="G30" s="114"/>
      <c r="H30" s="114"/>
      <c r="I30" s="115"/>
      <c r="J30" s="114" t="s">
        <v>135</v>
      </c>
      <c r="K30" s="116">
        <f>$I$28/128*4</f>
        <v>0</v>
      </c>
      <c r="L30" s="114"/>
      <c r="M30" s="119">
        <f>0.8/128*4</f>
        <v>2.5000000000000001E-2</v>
      </c>
      <c r="N30" s="114"/>
      <c r="O30" s="119" t="s">
        <v>120</v>
      </c>
    </row>
    <row r="31" spans="1:15" ht="17" thickTop="1">
      <c r="A31" s="19" t="s">
        <v>307</v>
      </c>
      <c r="B31" s="27" t="s">
        <v>220</v>
      </c>
      <c r="C31" s="27" t="s">
        <v>221</v>
      </c>
      <c r="D31" s="6">
        <v>5</v>
      </c>
      <c r="E31" s="6" t="s">
        <v>243</v>
      </c>
      <c r="F31" s="6" t="s">
        <v>330</v>
      </c>
      <c r="G31" s="6" t="s">
        <v>127</v>
      </c>
      <c r="H31" s="6" t="s">
        <v>3</v>
      </c>
      <c r="I31" s="66">
        <v>0</v>
      </c>
      <c r="J31" s="6" t="s">
        <v>222</v>
      </c>
      <c r="K31" s="7">
        <f>$I$31/128*1.1</f>
        <v>0</v>
      </c>
      <c r="L31" s="6" t="s">
        <v>354</v>
      </c>
      <c r="M31" s="58">
        <f>2.91/128*1.1</f>
        <v>2.5007812500000004E-2</v>
      </c>
      <c r="N31" s="6" t="s">
        <v>120</v>
      </c>
      <c r="O31" s="58" t="s">
        <v>120</v>
      </c>
    </row>
    <row r="32" spans="1:15">
      <c r="A32" s="16"/>
      <c r="B32" s="26"/>
      <c r="C32" s="26"/>
      <c r="D32" s="4"/>
      <c r="E32" s="4"/>
      <c r="F32" s="4"/>
      <c r="G32" s="4"/>
      <c r="H32" s="4"/>
      <c r="I32" s="40"/>
      <c r="J32" s="4" t="s">
        <v>224</v>
      </c>
      <c r="K32" s="8">
        <f>$I$31/128*1.7</f>
        <v>0</v>
      </c>
      <c r="L32" s="4"/>
      <c r="M32" s="59">
        <f>2.91/128*1.7</f>
        <v>3.86484375E-2</v>
      </c>
      <c r="N32" s="4"/>
      <c r="O32" s="59" t="s">
        <v>120</v>
      </c>
    </row>
    <row r="33" spans="1:15" ht="17" thickBot="1">
      <c r="A33" s="18"/>
      <c r="B33" s="28"/>
      <c r="C33" s="28"/>
      <c r="D33" s="5"/>
      <c r="E33" s="5"/>
      <c r="F33" s="5"/>
      <c r="G33" s="5"/>
      <c r="H33" s="5"/>
      <c r="I33" s="41"/>
      <c r="J33" s="5" t="s">
        <v>223</v>
      </c>
      <c r="K33" s="9">
        <f>$I$31/128*2.2</f>
        <v>0</v>
      </c>
      <c r="L33" s="5"/>
      <c r="M33" s="59">
        <f>2.91/128*2.2</f>
        <v>5.0015625000000008E-2</v>
      </c>
      <c r="N33" s="5"/>
      <c r="O33" s="59" t="s">
        <v>120</v>
      </c>
    </row>
    <row r="34" spans="1:15" ht="17" thickTop="1">
      <c r="A34" s="17" t="s">
        <v>308</v>
      </c>
      <c r="B34" s="27" t="s">
        <v>161</v>
      </c>
      <c r="C34" s="27" t="s">
        <v>358</v>
      </c>
      <c r="D34" s="6">
        <v>15</v>
      </c>
      <c r="E34" s="6" t="s">
        <v>244</v>
      </c>
      <c r="F34" s="6" t="s">
        <v>127</v>
      </c>
      <c r="G34" s="6" t="s">
        <v>127</v>
      </c>
      <c r="H34" s="6" t="s">
        <v>3</v>
      </c>
      <c r="I34" s="66">
        <v>0</v>
      </c>
      <c r="J34" s="6" t="s">
        <v>157</v>
      </c>
      <c r="K34" s="7">
        <f>$I$34/128*1</f>
        <v>0</v>
      </c>
      <c r="L34" s="6" t="s">
        <v>355</v>
      </c>
      <c r="M34" s="58">
        <f>2/128*1</f>
        <v>1.5625E-2</v>
      </c>
      <c r="N34" s="6" t="s">
        <v>120</v>
      </c>
      <c r="O34" s="58" t="s">
        <v>120</v>
      </c>
    </row>
    <row r="35" spans="1:15" ht="17" thickBot="1">
      <c r="A35" s="18"/>
      <c r="B35" s="28"/>
      <c r="C35" s="28"/>
      <c r="D35" s="5"/>
      <c r="E35" s="5"/>
      <c r="F35" s="5"/>
      <c r="G35" s="5"/>
      <c r="H35" s="5"/>
      <c r="I35" s="41"/>
      <c r="J35" s="5" t="s">
        <v>158</v>
      </c>
      <c r="K35" s="9">
        <f>$I$34/128*2</f>
        <v>0</v>
      </c>
      <c r="L35" s="5"/>
      <c r="M35" s="60">
        <f>2/128*2</f>
        <v>3.125E-2</v>
      </c>
      <c r="N35" s="5"/>
      <c r="O35" s="60" t="s">
        <v>120</v>
      </c>
    </row>
    <row r="36" spans="1:15" ht="17" thickTop="1">
      <c r="A36" s="19" t="s">
        <v>309</v>
      </c>
      <c r="B36" s="27" t="s">
        <v>225</v>
      </c>
      <c r="C36" s="27" t="s">
        <v>226</v>
      </c>
      <c r="D36" s="6">
        <v>18</v>
      </c>
      <c r="E36" s="6" t="s">
        <v>245</v>
      </c>
      <c r="F36" s="6" t="s">
        <v>330</v>
      </c>
      <c r="G36" s="6" t="s">
        <v>127</v>
      </c>
      <c r="H36" s="6" t="s">
        <v>3</v>
      </c>
      <c r="I36" s="66">
        <v>0</v>
      </c>
      <c r="J36" s="6" t="s">
        <v>11</v>
      </c>
      <c r="K36" s="7">
        <f>$I$36/128*4</f>
        <v>0</v>
      </c>
      <c r="L36" s="6" t="s">
        <v>356</v>
      </c>
      <c r="M36" s="58">
        <f>2/128*4</f>
        <v>6.25E-2</v>
      </c>
      <c r="N36" s="6" t="s">
        <v>120</v>
      </c>
      <c r="O36" s="58" t="s">
        <v>120</v>
      </c>
    </row>
    <row r="37" spans="1:15">
      <c r="A37" s="16"/>
      <c r="B37" s="26"/>
      <c r="C37" s="26"/>
      <c r="D37" s="4"/>
      <c r="E37" s="4"/>
      <c r="F37" s="4"/>
      <c r="G37" s="4"/>
      <c r="H37" s="4"/>
      <c r="I37" s="40"/>
      <c r="J37" s="4" t="s">
        <v>13</v>
      </c>
      <c r="K37" s="8">
        <f>$I$36/128*6</f>
        <v>0</v>
      </c>
      <c r="L37" s="4"/>
      <c r="M37" s="59">
        <f>2/128*6</f>
        <v>9.375E-2</v>
      </c>
      <c r="N37" s="4"/>
      <c r="O37" s="59" t="s">
        <v>120</v>
      </c>
    </row>
    <row r="38" spans="1:15" ht="17" thickBot="1">
      <c r="A38" s="18"/>
      <c r="B38" s="28"/>
      <c r="C38" s="28"/>
      <c r="D38" s="5"/>
      <c r="E38" s="5"/>
      <c r="F38" s="5"/>
      <c r="G38" s="5"/>
      <c r="H38" s="5"/>
      <c r="I38" s="41"/>
      <c r="J38" s="5" t="s">
        <v>160</v>
      </c>
      <c r="K38" s="9">
        <f>$I$36/128*8</f>
        <v>0</v>
      </c>
      <c r="L38" s="5"/>
      <c r="M38" s="60">
        <f>2/128*8</f>
        <v>0.125</v>
      </c>
      <c r="N38" s="5"/>
      <c r="O38" s="60" t="s">
        <v>120</v>
      </c>
    </row>
    <row r="39" spans="1:15" ht="17" thickTop="1">
      <c r="A39" s="201" t="s">
        <v>310</v>
      </c>
      <c r="B39" s="202" t="s">
        <v>136</v>
      </c>
      <c r="C39" s="202" t="s">
        <v>137</v>
      </c>
      <c r="D39" s="203">
        <v>28</v>
      </c>
      <c r="E39" s="203" t="s">
        <v>238</v>
      </c>
      <c r="F39" s="203" t="s">
        <v>127</v>
      </c>
      <c r="G39" s="203" t="s">
        <v>127</v>
      </c>
      <c r="H39" s="203" t="s">
        <v>3</v>
      </c>
      <c r="I39" s="204">
        <v>0</v>
      </c>
      <c r="J39" s="203" t="s">
        <v>160</v>
      </c>
      <c r="K39" s="205">
        <f>$I$39/128*8</f>
        <v>0</v>
      </c>
      <c r="L39" s="203" t="s">
        <v>357</v>
      </c>
      <c r="M39" s="231">
        <f>0.43/128*8</f>
        <v>2.6875E-2</v>
      </c>
      <c r="N39" s="203" t="s">
        <v>120</v>
      </c>
      <c r="O39" s="231" t="s">
        <v>120</v>
      </c>
    </row>
    <row r="40" spans="1:15">
      <c r="A40" s="206"/>
      <c r="B40" s="207"/>
      <c r="C40" s="207"/>
      <c r="D40" s="208"/>
      <c r="E40" s="208"/>
      <c r="F40" s="208"/>
      <c r="G40" s="208"/>
      <c r="H40" s="208"/>
      <c r="I40" s="209"/>
      <c r="J40" s="208" t="s">
        <v>56</v>
      </c>
      <c r="K40" s="210">
        <f>$I$39/128*12</f>
        <v>0</v>
      </c>
      <c r="L40" s="208"/>
      <c r="M40" s="232">
        <f>0.43/128*12</f>
        <v>4.0312500000000001E-2</v>
      </c>
      <c r="N40" s="208"/>
      <c r="O40" s="232" t="s">
        <v>120</v>
      </c>
    </row>
    <row r="41" spans="1:15">
      <c r="A41" s="206"/>
      <c r="B41" s="207"/>
      <c r="C41" s="207"/>
      <c r="D41" s="208"/>
      <c r="E41" s="208"/>
      <c r="F41" s="208"/>
      <c r="G41" s="208"/>
      <c r="H41" s="208"/>
      <c r="I41" s="209"/>
      <c r="J41" s="208" t="s">
        <v>159</v>
      </c>
      <c r="K41" s="210">
        <f>$I$39/128*16</f>
        <v>0</v>
      </c>
      <c r="L41" s="208"/>
      <c r="M41" s="232">
        <f>0.43/128*16</f>
        <v>5.3749999999999999E-2</v>
      </c>
      <c r="N41" s="208"/>
      <c r="O41" s="232" t="s">
        <v>120</v>
      </c>
    </row>
    <row r="42" spans="1:15" s="3" customFormat="1" ht="17" thickBot="1">
      <c r="A42" s="211"/>
      <c r="B42" s="212"/>
      <c r="C42" s="212"/>
      <c r="D42" s="213"/>
      <c r="E42" s="213"/>
      <c r="F42" s="213"/>
      <c r="G42" s="213"/>
      <c r="H42" s="213"/>
      <c r="I42" s="214"/>
      <c r="J42" s="213" t="s">
        <v>138</v>
      </c>
      <c r="K42" s="215">
        <f>$I$39/128*20</f>
        <v>0</v>
      </c>
      <c r="L42" s="213"/>
      <c r="M42" s="233">
        <f>0.43/128*20</f>
        <v>6.7187499999999997E-2</v>
      </c>
      <c r="N42" s="213"/>
      <c r="O42" s="233" t="s">
        <v>120</v>
      </c>
    </row>
    <row r="43" spans="1:15" s="3" customFormat="1" ht="17" thickTop="1">
      <c r="A43" s="206" t="s">
        <v>311</v>
      </c>
      <c r="B43" s="202" t="s">
        <v>206</v>
      </c>
      <c r="C43" s="202" t="s">
        <v>207</v>
      </c>
      <c r="D43" s="203">
        <v>28</v>
      </c>
      <c r="E43" s="203" t="s">
        <v>238</v>
      </c>
      <c r="F43" s="208" t="s">
        <v>127</v>
      </c>
      <c r="G43" s="208" t="s">
        <v>127</v>
      </c>
      <c r="H43" s="208" t="s">
        <v>3</v>
      </c>
      <c r="I43" s="204">
        <v>0</v>
      </c>
      <c r="J43" s="203" t="s">
        <v>158</v>
      </c>
      <c r="K43" s="205">
        <f>$I$43/128*2</f>
        <v>0</v>
      </c>
      <c r="L43" s="203" t="s">
        <v>357</v>
      </c>
      <c r="M43" s="231">
        <f>1.67/128*2</f>
        <v>2.6093749999999999E-2</v>
      </c>
      <c r="N43" s="203" t="s">
        <v>120</v>
      </c>
      <c r="O43" s="231" t="s">
        <v>120</v>
      </c>
    </row>
    <row r="44" spans="1:15" s="3" customFormat="1" ht="17" thickBot="1">
      <c r="A44" s="211"/>
      <c r="B44" s="212"/>
      <c r="C44" s="212"/>
      <c r="D44" s="213"/>
      <c r="E44" s="213"/>
      <c r="F44" s="213"/>
      <c r="G44" s="213"/>
      <c r="H44" s="213"/>
      <c r="I44" s="214"/>
      <c r="J44" s="213" t="s">
        <v>11</v>
      </c>
      <c r="K44" s="215">
        <f>$I$43/128*4</f>
        <v>0</v>
      </c>
      <c r="L44" s="213"/>
      <c r="M44" s="233">
        <f>1.67/128*4</f>
        <v>5.2187499999999998E-2</v>
      </c>
      <c r="N44" s="213"/>
      <c r="O44" s="233" t="s">
        <v>120</v>
      </c>
    </row>
    <row r="45" spans="1:15" s="3" customFormat="1" ht="17" thickTop="1">
      <c r="A45" s="201" t="s">
        <v>306</v>
      </c>
      <c r="B45" s="202" t="s">
        <v>336</v>
      </c>
      <c r="C45" s="202" t="s">
        <v>337</v>
      </c>
      <c r="D45" s="203">
        <v>28</v>
      </c>
      <c r="E45" s="203" t="s">
        <v>238</v>
      </c>
      <c r="F45" s="203" t="s">
        <v>127</v>
      </c>
      <c r="G45" s="203" t="s">
        <v>127</v>
      </c>
      <c r="H45" s="203" t="s">
        <v>3</v>
      </c>
      <c r="I45" s="204">
        <v>0</v>
      </c>
      <c r="J45" s="203" t="s">
        <v>13</v>
      </c>
      <c r="K45" s="205">
        <f>$I$45/128*6</f>
        <v>0</v>
      </c>
      <c r="L45" s="203" t="s">
        <v>357</v>
      </c>
      <c r="M45" s="231">
        <f>0.835/128*6</f>
        <v>3.9140624999999998E-2</v>
      </c>
      <c r="N45" s="203" t="s">
        <v>352</v>
      </c>
      <c r="O45" s="231">
        <f>0.417/128*6</f>
        <v>1.9546874999999998E-2</v>
      </c>
    </row>
    <row r="46" spans="1:15" s="3" customFormat="1" ht="17" thickBot="1">
      <c r="A46" s="211"/>
      <c r="B46" s="207" t="s">
        <v>338</v>
      </c>
      <c r="C46" s="212" t="s">
        <v>339</v>
      </c>
      <c r="D46" s="213">
        <v>3</v>
      </c>
      <c r="E46" s="213" t="s">
        <v>242</v>
      </c>
      <c r="F46" s="213"/>
      <c r="G46" s="213"/>
      <c r="H46" s="213"/>
      <c r="I46" s="214"/>
      <c r="J46" s="213" t="s">
        <v>246</v>
      </c>
      <c r="K46" s="215">
        <f>$I$45/128*10</f>
        <v>0</v>
      </c>
      <c r="L46" s="213"/>
      <c r="M46" s="233">
        <f>0.835/128*10</f>
        <v>6.5234374999999997E-2</v>
      </c>
      <c r="N46" s="213"/>
      <c r="O46" s="233">
        <f>0.417/128*10</f>
        <v>3.2578124999999999E-2</v>
      </c>
    </row>
    <row r="47" spans="1:15" ht="17" thickTop="1">
      <c r="B47" s="27"/>
    </row>
  </sheetData>
  <sheetProtection algorithmName="SHA-512" hashValue="fcp+UIgaAUUXLnMpw91As1VfEBt8oD3hU/3ZzXCQQYQpwq0vamfMtByxgi04b/SLETZDkhUM3GMOKSTDmp1GCQ==" saltValue="vYGYSGNrJ6tigieJdkfEZg==" spinCount="100000" sheet="1" objects="1" scenarios="1"/>
  <mergeCells count="1">
    <mergeCell ref="A22:A24"/>
  </mergeCells>
  <phoneticPr fontId="7" type="noConversion"/>
  <pageMargins left="0.75" right="0.75" top="1.25" bottom="1" header="0.5" footer="0.5"/>
  <pageSetup scale="42" fitToHeight="8" orientation="landscape" horizontalDpi="4294967292" verticalDpi="4294967292"/>
  <headerFooter>
    <oddHeader>&amp;C&amp;"Calibri,Regular"&amp;K000000Insecticide Cost per Acre Spreadsheet for Pastures and Hayfields
Texas  AgriLife Extension
J.P. Banta and V. Corriher-Olson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3"/>
  <sheetViews>
    <sheetView zoomScale="125" zoomScaleNormal="125" zoomScalePageLayoutView="125" workbookViewId="0">
      <selection activeCell="K25" sqref="K25"/>
    </sheetView>
  </sheetViews>
  <sheetFormatPr baseColWidth="10" defaultRowHeight="16"/>
  <cols>
    <col min="1" max="1" width="14.83203125" style="1" bestFit="1" customWidth="1"/>
    <col min="2" max="5" width="10.83203125" style="1"/>
  </cols>
  <sheetData>
    <row r="1" spans="1:8">
      <c r="B1" s="72" t="s">
        <v>208</v>
      </c>
      <c r="C1" s="72" t="s">
        <v>209</v>
      </c>
      <c r="D1" s="72" t="s">
        <v>210</v>
      </c>
      <c r="E1" s="72" t="s">
        <v>211</v>
      </c>
      <c r="F1" s="72" t="s">
        <v>212</v>
      </c>
      <c r="G1" s="72" t="s">
        <v>213</v>
      </c>
      <c r="H1" s="72" t="s">
        <v>214</v>
      </c>
    </row>
    <row r="2" spans="1:8">
      <c r="A2" s="72" t="s">
        <v>215</v>
      </c>
      <c r="B2" s="237" t="s">
        <v>216</v>
      </c>
      <c r="C2" s="237"/>
      <c r="D2" s="237"/>
      <c r="E2" s="237"/>
      <c r="F2" s="237"/>
      <c r="G2" s="237"/>
      <c r="H2" s="237"/>
    </row>
    <row r="3" spans="1:8">
      <c r="A3" s="1">
        <v>10</v>
      </c>
      <c r="B3" s="71">
        <f>2*5280*A3/43560</f>
        <v>2.4242424242424243</v>
      </c>
      <c r="C3" s="71">
        <f>3*5280*A3/43560</f>
        <v>3.6363636363636362</v>
      </c>
      <c r="D3" s="71">
        <f>4*5280*A3/43560</f>
        <v>4.8484848484848486</v>
      </c>
      <c r="E3" s="71">
        <f>5*5280*A3/43560</f>
        <v>6.0606060606060606</v>
      </c>
      <c r="F3" s="71">
        <f>6*5280*A3/43560</f>
        <v>7.2727272727272725</v>
      </c>
      <c r="G3" s="71">
        <f>7*5280*A3/43560</f>
        <v>8.4848484848484844</v>
      </c>
      <c r="H3" s="71">
        <f>8*5280*A3/43560</f>
        <v>9.6969696969696972</v>
      </c>
    </row>
    <row r="4" spans="1:8">
      <c r="A4" s="1">
        <v>12</v>
      </c>
      <c r="B4" s="71">
        <f>2*5280*A4/43560</f>
        <v>2.9090909090909092</v>
      </c>
      <c r="C4" s="71">
        <f t="shared" ref="C4:C23" si="0">3*5280*A4/43560</f>
        <v>4.3636363636363633</v>
      </c>
      <c r="D4" s="71">
        <f t="shared" ref="D4:D23" si="1">4*5280*A4/43560</f>
        <v>5.8181818181818183</v>
      </c>
      <c r="E4" s="71">
        <f t="shared" ref="E4:E23" si="2">5*5280*A4/43560</f>
        <v>7.2727272727272725</v>
      </c>
      <c r="F4" s="71">
        <f t="shared" ref="F4:F23" si="3">6*5280*A4/43560</f>
        <v>8.7272727272727266</v>
      </c>
      <c r="G4" s="71">
        <f t="shared" ref="G4:G23" si="4">7*5280*A4/43560</f>
        <v>10.181818181818182</v>
      </c>
      <c r="H4" s="71">
        <f t="shared" ref="H4:H23" si="5">8*5280*A4/43560</f>
        <v>11.636363636363637</v>
      </c>
    </row>
    <row r="5" spans="1:8">
      <c r="A5" s="1">
        <v>14</v>
      </c>
      <c r="B5" s="71">
        <f t="shared" ref="B5:B23" si="6">2*5280*A5/43560</f>
        <v>3.393939393939394</v>
      </c>
      <c r="C5" s="71">
        <f t="shared" si="0"/>
        <v>5.0909090909090908</v>
      </c>
      <c r="D5" s="71">
        <f t="shared" si="1"/>
        <v>6.7878787878787881</v>
      </c>
      <c r="E5" s="71">
        <f t="shared" si="2"/>
        <v>8.4848484848484844</v>
      </c>
      <c r="F5" s="71">
        <f t="shared" si="3"/>
        <v>10.181818181818182</v>
      </c>
      <c r="G5" s="71">
        <f t="shared" si="4"/>
        <v>11.878787878787879</v>
      </c>
      <c r="H5" s="71">
        <f t="shared" si="5"/>
        <v>13.575757575757576</v>
      </c>
    </row>
    <row r="6" spans="1:8">
      <c r="A6" s="1">
        <v>16</v>
      </c>
      <c r="B6" s="71">
        <f t="shared" si="6"/>
        <v>3.8787878787878789</v>
      </c>
      <c r="C6" s="71">
        <f t="shared" si="0"/>
        <v>5.8181818181818183</v>
      </c>
      <c r="D6" s="71">
        <f t="shared" si="1"/>
        <v>7.7575757575757578</v>
      </c>
      <c r="E6" s="71">
        <f t="shared" si="2"/>
        <v>9.6969696969696972</v>
      </c>
      <c r="F6" s="71">
        <f t="shared" si="3"/>
        <v>11.636363636363637</v>
      </c>
      <c r="G6" s="71">
        <f t="shared" si="4"/>
        <v>13.575757575757576</v>
      </c>
      <c r="H6" s="71">
        <f t="shared" si="5"/>
        <v>15.515151515151516</v>
      </c>
    </row>
    <row r="7" spans="1:8">
      <c r="A7" s="1">
        <v>18</v>
      </c>
      <c r="B7" s="71">
        <f t="shared" si="6"/>
        <v>4.3636363636363633</v>
      </c>
      <c r="C7" s="71">
        <f t="shared" si="0"/>
        <v>6.5454545454545459</v>
      </c>
      <c r="D7" s="71">
        <f t="shared" si="1"/>
        <v>8.7272727272727266</v>
      </c>
      <c r="E7" s="71">
        <f t="shared" si="2"/>
        <v>10.909090909090908</v>
      </c>
      <c r="F7" s="71">
        <f t="shared" si="3"/>
        <v>13.090909090909092</v>
      </c>
      <c r="G7" s="71">
        <f t="shared" si="4"/>
        <v>15.272727272727273</v>
      </c>
      <c r="H7" s="71">
        <f t="shared" si="5"/>
        <v>17.454545454545453</v>
      </c>
    </row>
    <row r="8" spans="1:8">
      <c r="A8" s="1">
        <v>20</v>
      </c>
      <c r="B8" s="71">
        <f t="shared" si="6"/>
        <v>4.8484848484848486</v>
      </c>
      <c r="C8" s="71">
        <f t="shared" si="0"/>
        <v>7.2727272727272725</v>
      </c>
      <c r="D8" s="71">
        <f t="shared" si="1"/>
        <v>9.6969696969696972</v>
      </c>
      <c r="E8" s="71">
        <f t="shared" si="2"/>
        <v>12.121212121212121</v>
      </c>
      <c r="F8" s="71">
        <f t="shared" si="3"/>
        <v>14.545454545454545</v>
      </c>
      <c r="G8" s="71">
        <f t="shared" si="4"/>
        <v>16.969696969696969</v>
      </c>
      <c r="H8" s="71">
        <f t="shared" si="5"/>
        <v>19.393939393939394</v>
      </c>
    </row>
    <row r="9" spans="1:8">
      <c r="A9" s="1">
        <v>22</v>
      </c>
      <c r="B9" s="71">
        <f t="shared" si="6"/>
        <v>5.333333333333333</v>
      </c>
      <c r="C9" s="71">
        <f t="shared" si="0"/>
        <v>8</v>
      </c>
      <c r="D9" s="71">
        <f t="shared" si="1"/>
        <v>10.666666666666666</v>
      </c>
      <c r="E9" s="71">
        <f t="shared" si="2"/>
        <v>13.333333333333334</v>
      </c>
      <c r="F9" s="71">
        <f t="shared" si="3"/>
        <v>16</v>
      </c>
      <c r="G9" s="71">
        <f t="shared" si="4"/>
        <v>18.666666666666668</v>
      </c>
      <c r="H9" s="71">
        <f t="shared" si="5"/>
        <v>21.333333333333332</v>
      </c>
    </row>
    <row r="10" spans="1:8">
      <c r="A10" s="1">
        <v>24</v>
      </c>
      <c r="B10" s="71">
        <f t="shared" si="6"/>
        <v>5.8181818181818183</v>
      </c>
      <c r="C10" s="71">
        <f t="shared" si="0"/>
        <v>8.7272727272727266</v>
      </c>
      <c r="D10" s="71">
        <f t="shared" si="1"/>
        <v>11.636363636363637</v>
      </c>
      <c r="E10" s="71">
        <f t="shared" si="2"/>
        <v>14.545454545454545</v>
      </c>
      <c r="F10" s="71">
        <f t="shared" si="3"/>
        <v>17.454545454545453</v>
      </c>
      <c r="G10" s="71">
        <f t="shared" si="4"/>
        <v>20.363636363636363</v>
      </c>
      <c r="H10" s="71">
        <f t="shared" si="5"/>
        <v>23.272727272727273</v>
      </c>
    </row>
    <row r="11" spans="1:8">
      <c r="A11" s="1">
        <v>26</v>
      </c>
      <c r="B11" s="71">
        <f t="shared" si="6"/>
        <v>6.3030303030303028</v>
      </c>
      <c r="C11" s="71">
        <f t="shared" si="0"/>
        <v>9.454545454545455</v>
      </c>
      <c r="D11" s="71">
        <f t="shared" si="1"/>
        <v>12.606060606060606</v>
      </c>
      <c r="E11" s="71">
        <f t="shared" si="2"/>
        <v>15.757575757575758</v>
      </c>
      <c r="F11" s="71">
        <f t="shared" si="3"/>
        <v>18.90909090909091</v>
      </c>
      <c r="G11" s="71">
        <f t="shared" si="4"/>
        <v>22.060606060606062</v>
      </c>
      <c r="H11" s="71">
        <f t="shared" si="5"/>
        <v>25.212121212121211</v>
      </c>
    </row>
    <row r="12" spans="1:8">
      <c r="A12" s="1">
        <v>28</v>
      </c>
      <c r="B12" s="71">
        <f t="shared" si="6"/>
        <v>6.7878787878787881</v>
      </c>
      <c r="C12" s="71">
        <f t="shared" si="0"/>
        <v>10.181818181818182</v>
      </c>
      <c r="D12" s="71">
        <f t="shared" si="1"/>
        <v>13.575757575757576</v>
      </c>
      <c r="E12" s="71">
        <f t="shared" si="2"/>
        <v>16.969696969696969</v>
      </c>
      <c r="F12" s="71">
        <f t="shared" si="3"/>
        <v>20.363636363636363</v>
      </c>
      <c r="G12" s="71">
        <f t="shared" si="4"/>
        <v>23.757575757575758</v>
      </c>
      <c r="H12" s="71">
        <f t="shared" si="5"/>
        <v>27.151515151515152</v>
      </c>
    </row>
    <row r="13" spans="1:8">
      <c r="A13" s="1">
        <v>30</v>
      </c>
      <c r="B13" s="71">
        <f t="shared" si="6"/>
        <v>7.2727272727272725</v>
      </c>
      <c r="C13" s="71">
        <f t="shared" si="0"/>
        <v>10.909090909090908</v>
      </c>
      <c r="D13" s="71">
        <f t="shared" si="1"/>
        <v>14.545454545454545</v>
      </c>
      <c r="E13" s="71">
        <f t="shared" si="2"/>
        <v>18.181818181818183</v>
      </c>
      <c r="F13" s="71">
        <f t="shared" si="3"/>
        <v>21.818181818181817</v>
      </c>
      <c r="G13" s="71">
        <f t="shared" si="4"/>
        <v>25.454545454545453</v>
      </c>
      <c r="H13" s="71">
        <f t="shared" si="5"/>
        <v>29.09090909090909</v>
      </c>
    </row>
    <row r="14" spans="1:8">
      <c r="A14" s="1">
        <v>32</v>
      </c>
      <c r="B14" s="71">
        <f t="shared" si="6"/>
        <v>7.7575757575757578</v>
      </c>
      <c r="C14" s="71">
        <f t="shared" si="0"/>
        <v>11.636363636363637</v>
      </c>
      <c r="D14" s="71">
        <f t="shared" si="1"/>
        <v>15.515151515151516</v>
      </c>
      <c r="E14" s="71">
        <f t="shared" si="2"/>
        <v>19.393939393939394</v>
      </c>
      <c r="F14" s="71">
        <f t="shared" si="3"/>
        <v>23.272727272727273</v>
      </c>
      <c r="G14" s="71">
        <f t="shared" si="4"/>
        <v>27.151515151515152</v>
      </c>
      <c r="H14" s="71">
        <f t="shared" si="5"/>
        <v>31.030303030303031</v>
      </c>
    </row>
    <row r="15" spans="1:8">
      <c r="A15" s="1">
        <v>34</v>
      </c>
      <c r="B15" s="71">
        <f t="shared" si="6"/>
        <v>8.2424242424242422</v>
      </c>
      <c r="C15" s="71">
        <f t="shared" si="0"/>
        <v>12.363636363636363</v>
      </c>
      <c r="D15" s="71">
        <f t="shared" si="1"/>
        <v>16.484848484848484</v>
      </c>
      <c r="E15" s="71">
        <f t="shared" si="2"/>
        <v>20.606060606060606</v>
      </c>
      <c r="F15" s="71">
        <f t="shared" si="3"/>
        <v>24.727272727272727</v>
      </c>
      <c r="G15" s="71">
        <f t="shared" si="4"/>
        <v>28.848484848484848</v>
      </c>
      <c r="H15" s="71">
        <f t="shared" si="5"/>
        <v>32.969696969696969</v>
      </c>
    </row>
    <row r="16" spans="1:8">
      <c r="A16" s="1">
        <v>36</v>
      </c>
      <c r="B16" s="71">
        <f t="shared" si="6"/>
        <v>8.7272727272727266</v>
      </c>
      <c r="C16" s="71">
        <f t="shared" si="0"/>
        <v>13.090909090909092</v>
      </c>
      <c r="D16" s="71">
        <f t="shared" si="1"/>
        <v>17.454545454545453</v>
      </c>
      <c r="E16" s="71">
        <f t="shared" si="2"/>
        <v>21.818181818181817</v>
      </c>
      <c r="F16" s="71">
        <f t="shared" si="3"/>
        <v>26.181818181818183</v>
      </c>
      <c r="G16" s="71">
        <f t="shared" si="4"/>
        <v>30.545454545454547</v>
      </c>
      <c r="H16" s="71">
        <f t="shared" si="5"/>
        <v>34.909090909090907</v>
      </c>
    </row>
    <row r="17" spans="1:8">
      <c r="A17" s="1">
        <v>38</v>
      </c>
      <c r="B17" s="71">
        <f t="shared" si="6"/>
        <v>9.2121212121212128</v>
      </c>
      <c r="C17" s="71">
        <f t="shared" si="0"/>
        <v>13.818181818181818</v>
      </c>
      <c r="D17" s="71">
        <f t="shared" si="1"/>
        <v>18.424242424242426</v>
      </c>
      <c r="E17" s="71">
        <f t="shared" si="2"/>
        <v>23.030303030303031</v>
      </c>
      <c r="F17" s="71">
        <f t="shared" si="3"/>
        <v>27.636363636363637</v>
      </c>
      <c r="G17" s="71">
        <f t="shared" si="4"/>
        <v>32.242424242424242</v>
      </c>
      <c r="H17" s="71">
        <f t="shared" si="5"/>
        <v>36.848484848484851</v>
      </c>
    </row>
    <row r="18" spans="1:8">
      <c r="A18" s="1">
        <v>40</v>
      </c>
      <c r="B18" s="71">
        <f t="shared" si="6"/>
        <v>9.6969696969696972</v>
      </c>
      <c r="C18" s="71">
        <f t="shared" si="0"/>
        <v>14.545454545454545</v>
      </c>
      <c r="D18" s="71">
        <f t="shared" si="1"/>
        <v>19.393939393939394</v>
      </c>
      <c r="E18" s="71">
        <f t="shared" si="2"/>
        <v>24.242424242424242</v>
      </c>
      <c r="F18" s="71">
        <f t="shared" si="3"/>
        <v>29.09090909090909</v>
      </c>
      <c r="G18" s="71">
        <f t="shared" si="4"/>
        <v>33.939393939393938</v>
      </c>
      <c r="H18" s="71">
        <f t="shared" si="5"/>
        <v>38.787878787878789</v>
      </c>
    </row>
    <row r="19" spans="1:8">
      <c r="A19" s="1">
        <v>42</v>
      </c>
      <c r="B19" s="71">
        <f t="shared" si="6"/>
        <v>10.181818181818182</v>
      </c>
      <c r="C19" s="71">
        <f t="shared" si="0"/>
        <v>15.272727272727273</v>
      </c>
      <c r="D19" s="71">
        <f t="shared" si="1"/>
        <v>20.363636363636363</v>
      </c>
      <c r="E19" s="71">
        <f t="shared" si="2"/>
        <v>25.454545454545453</v>
      </c>
      <c r="F19" s="71">
        <f t="shared" si="3"/>
        <v>30.545454545454547</v>
      </c>
      <c r="G19" s="71">
        <f t="shared" si="4"/>
        <v>35.636363636363633</v>
      </c>
      <c r="H19" s="71">
        <f t="shared" si="5"/>
        <v>40.727272727272727</v>
      </c>
    </row>
    <row r="20" spans="1:8">
      <c r="A20" s="1">
        <v>44</v>
      </c>
      <c r="B20" s="71">
        <f t="shared" si="6"/>
        <v>10.666666666666666</v>
      </c>
      <c r="C20" s="71">
        <f t="shared" si="0"/>
        <v>16</v>
      </c>
      <c r="D20" s="71">
        <f t="shared" si="1"/>
        <v>21.333333333333332</v>
      </c>
      <c r="E20" s="71">
        <f t="shared" si="2"/>
        <v>26.666666666666668</v>
      </c>
      <c r="F20" s="71">
        <f t="shared" si="3"/>
        <v>32</v>
      </c>
      <c r="G20" s="71">
        <f t="shared" si="4"/>
        <v>37.333333333333336</v>
      </c>
      <c r="H20" s="71">
        <f t="shared" si="5"/>
        <v>42.666666666666664</v>
      </c>
    </row>
    <row r="21" spans="1:8">
      <c r="A21" s="1">
        <v>46</v>
      </c>
      <c r="B21" s="71">
        <f t="shared" si="6"/>
        <v>11.151515151515152</v>
      </c>
      <c r="C21" s="71">
        <f t="shared" si="0"/>
        <v>16.727272727272727</v>
      </c>
      <c r="D21" s="71">
        <f t="shared" si="1"/>
        <v>22.303030303030305</v>
      </c>
      <c r="E21" s="71">
        <f t="shared" si="2"/>
        <v>27.878787878787879</v>
      </c>
      <c r="F21" s="71">
        <f t="shared" si="3"/>
        <v>33.454545454545453</v>
      </c>
      <c r="G21" s="71">
        <f t="shared" si="4"/>
        <v>39.030303030303031</v>
      </c>
      <c r="H21" s="71">
        <f t="shared" si="5"/>
        <v>44.606060606060609</v>
      </c>
    </row>
    <row r="22" spans="1:8">
      <c r="A22" s="1">
        <v>48</v>
      </c>
      <c r="B22" s="71">
        <f t="shared" si="6"/>
        <v>11.636363636363637</v>
      </c>
      <c r="C22" s="71">
        <f t="shared" si="0"/>
        <v>17.454545454545453</v>
      </c>
      <c r="D22" s="71">
        <f t="shared" si="1"/>
        <v>23.272727272727273</v>
      </c>
      <c r="E22" s="71">
        <f t="shared" si="2"/>
        <v>29.09090909090909</v>
      </c>
      <c r="F22" s="71">
        <f t="shared" si="3"/>
        <v>34.909090909090907</v>
      </c>
      <c r="G22" s="71">
        <f t="shared" si="4"/>
        <v>40.727272727272727</v>
      </c>
      <c r="H22" s="71">
        <f t="shared" si="5"/>
        <v>46.545454545454547</v>
      </c>
    </row>
    <row r="23" spans="1:8">
      <c r="A23" s="1">
        <v>50</v>
      </c>
      <c r="B23" s="71">
        <f t="shared" si="6"/>
        <v>12.121212121212121</v>
      </c>
      <c r="C23" s="71">
        <f t="shared" si="0"/>
        <v>18.181818181818183</v>
      </c>
      <c r="D23" s="71">
        <f t="shared" si="1"/>
        <v>24.242424242424242</v>
      </c>
      <c r="E23" s="71">
        <f t="shared" si="2"/>
        <v>30.303030303030305</v>
      </c>
      <c r="F23" s="71">
        <f t="shared" si="3"/>
        <v>36.363636363636367</v>
      </c>
      <c r="G23" s="71">
        <f t="shared" si="4"/>
        <v>42.424242424242422</v>
      </c>
      <c r="H23" s="71">
        <f t="shared" si="5"/>
        <v>48.484848484848484</v>
      </c>
    </row>
  </sheetData>
  <sheetProtection algorithmName="SHA-512" hashValue="EaDzjYzyUjw7KTalvPigqcVxegIx0KQ7ilbISou5rSOabnxoNfawgkhgDYLyvMab7/zJIGqd2G1HekfnceQzqQ==" saltValue="vvj7Qa4wuhQCBKe/4q/olA==" spinCount="100000" sheet="1" objects="1" scenarios="1"/>
  <mergeCells count="1">
    <mergeCell ref="B2:H2"/>
  </mergeCells>
  <pageMargins left="0.75" right="0.75" top="1" bottom="1" header="0.5" footer="0.5"/>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directions, herbicide sheet</vt:lpstr>
      <vt:lpstr>herbicide cost per acre</vt:lpstr>
      <vt:lpstr>directions, insecticide sheet</vt:lpstr>
      <vt:lpstr>insecticide cost per acre</vt:lpstr>
      <vt:lpstr>area covered</vt:lpstr>
      <vt:lpstr>'herbicide cost per acre'!Print_Titles</vt:lpstr>
      <vt:lpstr>'insecticide cost per acre'!Print_Titles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Banta</dc:creator>
  <cp:lastModifiedBy>Jason Banta</cp:lastModifiedBy>
  <cp:lastPrinted>2015-02-16T21:06:31Z</cp:lastPrinted>
  <dcterms:created xsi:type="dcterms:W3CDTF">2012-02-06T17:49:44Z</dcterms:created>
  <dcterms:modified xsi:type="dcterms:W3CDTF">2019-02-19T19:17:08Z</dcterms:modified>
</cp:coreProperties>
</file>