
<file path=[Content_Types].xml><?xml version="1.0" encoding="utf-8"?>
<Types xmlns="http://schemas.openxmlformats.org/package/2006/content-type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514"/>
  <workbookPr showInkAnnotation="0" autoCompressPictures="0"/>
  <mc:AlternateContent xmlns:mc="http://schemas.openxmlformats.org/markup-compatibility/2006">
    <mc:Choice Requires="x15">
      <x15ac:absPath xmlns:x15ac="http://schemas.microsoft.com/office/spreadsheetml/2010/11/ac" url="/Users/jasonbanta/Documents/Spreadsheets/"/>
    </mc:Choice>
  </mc:AlternateContent>
  <xr:revisionPtr revIDLastSave="0" documentId="13_ncr:1_{1EA33FA2-0FA6-7E44-9C93-6FF46D224536}" xr6:coauthVersionLast="47" xr6:coauthVersionMax="47" xr10:uidLastSave="{00000000-0000-0000-0000-000000000000}"/>
  <bookViews>
    <workbookView xWindow="11840" yWindow="1480" windowWidth="33080" windowHeight="19400" tabRatio="578" activeTab="1" xr2:uid="{00000000-000D-0000-FFFF-FFFF00000000}"/>
  </bookViews>
  <sheets>
    <sheet name="1 directions" sheetId="13" r:id="rId1"/>
    <sheet name="2 herbicide cost per acre" sheetId="11" r:id="rId2"/>
    <sheet name="3 insecticide cost per acre" sheetId="6" r:id="rId3"/>
    <sheet name="4 adjuvants (surfactants)" sheetId="14" r:id="rId4"/>
    <sheet name="5 acres covered per hr" sheetId="10" r:id="rId5"/>
    <sheet name="6 publications" sheetId="15" r:id="rId6"/>
  </sheets>
  <definedNames>
    <definedName name="_xlnm.Print_Titles" localSheetId="1">'2 herbicide cost per acre'!$1:$1</definedName>
    <definedName name="_xlnm.Print_Titles" localSheetId="2">'3 insecticide cost per acre'!$1:$1</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M46" i="6" l="1"/>
  <c r="M45" i="6"/>
  <c r="M44" i="6"/>
  <c r="M43" i="6"/>
  <c r="K46" i="6"/>
  <c r="K45" i="6"/>
  <c r="K44" i="6"/>
  <c r="K43" i="6"/>
  <c r="E21" i="14"/>
  <c r="F21" i="14" s="1"/>
  <c r="E20" i="14"/>
  <c r="F20" i="14" s="1"/>
  <c r="E19" i="14"/>
  <c r="F19" i="14" s="1"/>
  <c r="E18" i="14"/>
  <c r="F18" i="14" s="1"/>
  <c r="E17" i="14"/>
  <c r="F17" i="14" s="1"/>
  <c r="E16" i="14"/>
  <c r="F16" i="14" s="1"/>
  <c r="E15" i="14"/>
  <c r="F15" i="14" s="1"/>
  <c r="E14" i="14"/>
  <c r="F14" i="14" s="1"/>
  <c r="E13" i="14"/>
  <c r="F13" i="14" s="1"/>
  <c r="E12" i="14"/>
  <c r="F12" i="14" s="1"/>
  <c r="E11" i="14"/>
  <c r="F11" i="14" s="1"/>
  <c r="E10" i="14"/>
  <c r="F10" i="14" s="1"/>
  <c r="E9" i="14"/>
  <c r="F9" i="14" s="1"/>
  <c r="E8" i="14"/>
  <c r="F8" i="14" s="1"/>
  <c r="E7" i="14"/>
  <c r="F7" i="14" s="1"/>
  <c r="E6" i="14"/>
  <c r="F6" i="14" s="1"/>
  <c r="E5" i="14"/>
  <c r="F5" i="14" s="1"/>
  <c r="E4" i="14"/>
  <c r="F4" i="14" s="1"/>
  <c r="E3" i="14"/>
  <c r="F3" i="14" s="1"/>
  <c r="E2" i="14"/>
  <c r="F2" i="14" s="1"/>
  <c r="M42" i="6"/>
  <c r="M41" i="6"/>
  <c r="M40" i="6"/>
  <c r="M39" i="6"/>
  <c r="K42" i="6"/>
  <c r="K41" i="6"/>
  <c r="K40" i="6"/>
  <c r="K39" i="6"/>
  <c r="I6" i="11"/>
  <c r="I5" i="11"/>
  <c r="I4" i="11"/>
  <c r="I3" i="11"/>
  <c r="I2" i="11"/>
  <c r="I105" i="11"/>
  <c r="I106" i="11"/>
  <c r="I104" i="11"/>
  <c r="K106" i="11"/>
  <c r="K105" i="11"/>
  <c r="K104" i="11"/>
  <c r="M15" i="11" l="1"/>
  <c r="M14" i="11"/>
  <c r="M13" i="11"/>
  <c r="K15" i="11"/>
  <c r="K14" i="11"/>
  <c r="K13" i="11"/>
  <c r="I15" i="11"/>
  <c r="I14" i="11"/>
  <c r="I13" i="11"/>
  <c r="O50" i="6" l="1"/>
  <c r="O49" i="6"/>
  <c r="M50" i="6"/>
  <c r="M49" i="6"/>
  <c r="M48" i="6"/>
  <c r="M47" i="6"/>
  <c r="M38" i="6"/>
  <c r="M37" i="6"/>
  <c r="M36" i="6"/>
  <c r="M35" i="6"/>
  <c r="M34" i="6"/>
  <c r="M33" i="6"/>
  <c r="M32" i="6"/>
  <c r="M31" i="6"/>
  <c r="M30" i="6"/>
  <c r="M29" i="6"/>
  <c r="M28" i="6"/>
  <c r="M27" i="6"/>
  <c r="M26" i="6"/>
  <c r="M25" i="6"/>
  <c r="M24" i="6"/>
  <c r="M23" i="6"/>
  <c r="M22" i="6"/>
  <c r="M21" i="6"/>
  <c r="M20" i="6"/>
  <c r="M19" i="6"/>
  <c r="M18" i="6"/>
  <c r="M17" i="6"/>
  <c r="M16" i="6"/>
  <c r="M15" i="6"/>
  <c r="M14" i="6"/>
  <c r="M13" i="6"/>
  <c r="M12" i="6"/>
  <c r="M11" i="6"/>
  <c r="M10" i="6"/>
  <c r="M9" i="6"/>
  <c r="M8" i="6"/>
  <c r="M7" i="6"/>
  <c r="M6" i="6"/>
  <c r="M5" i="6"/>
  <c r="M4" i="6"/>
  <c r="M3" i="6"/>
  <c r="M2" i="6"/>
  <c r="K49" i="6" l="1"/>
  <c r="K21" i="6" l="1"/>
  <c r="K20" i="6"/>
  <c r="K19" i="6"/>
  <c r="I67" i="11" l="1"/>
  <c r="I66" i="11"/>
  <c r="I65" i="11"/>
  <c r="K67" i="11"/>
  <c r="K66" i="11"/>
  <c r="K65" i="11"/>
  <c r="K78" i="11"/>
  <c r="K28" i="11"/>
  <c r="K29" i="11"/>
  <c r="K27" i="11"/>
  <c r="K84" i="11"/>
  <c r="I84" i="11"/>
  <c r="K86" i="11"/>
  <c r="K85" i="11"/>
  <c r="I29" i="11"/>
  <c r="I28" i="11"/>
  <c r="I27" i="11"/>
  <c r="I86" i="11" l="1"/>
  <c r="I85" i="11"/>
  <c r="K11" i="6" l="1"/>
  <c r="K38" i="6"/>
  <c r="K37" i="6"/>
  <c r="K36" i="6"/>
  <c r="K50" i="6" l="1"/>
  <c r="K74" i="11" l="1"/>
  <c r="I74" i="11"/>
  <c r="K73" i="11"/>
  <c r="I73" i="11"/>
  <c r="K72" i="11"/>
  <c r="I72" i="11"/>
  <c r="K71" i="11"/>
  <c r="I71" i="11"/>
  <c r="K70" i="11"/>
  <c r="I70" i="11"/>
  <c r="K69" i="11"/>
  <c r="I69" i="11"/>
  <c r="K68" i="11"/>
  <c r="I68" i="11"/>
  <c r="M55" i="11"/>
  <c r="K55" i="11"/>
  <c r="I55" i="11"/>
  <c r="M54" i="11"/>
  <c r="K54" i="11"/>
  <c r="I54" i="11"/>
  <c r="M53" i="11"/>
  <c r="K53" i="11"/>
  <c r="I53" i="11"/>
  <c r="M52" i="11"/>
  <c r="K52" i="11"/>
  <c r="I52" i="11"/>
  <c r="M58" i="11"/>
  <c r="K58" i="11"/>
  <c r="I58" i="11"/>
  <c r="M57" i="11"/>
  <c r="K57" i="11"/>
  <c r="I57" i="11"/>
  <c r="M56" i="11"/>
  <c r="K56" i="11"/>
  <c r="I56" i="11"/>
  <c r="K51" i="11"/>
  <c r="I51" i="11"/>
  <c r="K50" i="11"/>
  <c r="I50" i="11"/>
  <c r="K49" i="11"/>
  <c r="I49" i="11"/>
  <c r="K93" i="11"/>
  <c r="I93" i="11"/>
  <c r="K92" i="11"/>
  <c r="I92" i="11"/>
  <c r="M44" i="11"/>
  <c r="K44" i="11"/>
  <c r="I44" i="11"/>
  <c r="M43" i="11"/>
  <c r="K43" i="11"/>
  <c r="I43" i="11"/>
  <c r="M42" i="11"/>
  <c r="K42" i="11"/>
  <c r="I42" i="11"/>
  <c r="M41" i="11"/>
  <c r="K41" i="11"/>
  <c r="I41" i="11"/>
  <c r="M40" i="11"/>
  <c r="K40" i="11"/>
  <c r="I40" i="11"/>
  <c r="M39" i="11"/>
  <c r="K39" i="11"/>
  <c r="I39" i="11"/>
  <c r="M38" i="11"/>
  <c r="K38" i="11"/>
  <c r="I38" i="11"/>
  <c r="M48" i="11"/>
  <c r="K48" i="11"/>
  <c r="I48" i="11"/>
  <c r="M47" i="11"/>
  <c r="K47" i="11"/>
  <c r="I47" i="11"/>
  <c r="M46" i="11"/>
  <c r="K46" i="11"/>
  <c r="I46" i="11"/>
  <c r="M45" i="11"/>
  <c r="K45" i="11"/>
  <c r="I45" i="11"/>
  <c r="K37" i="11"/>
  <c r="I37" i="11"/>
  <c r="K36" i="11"/>
  <c r="I36" i="11"/>
  <c r="K35" i="11"/>
  <c r="I35" i="11"/>
  <c r="K34" i="11"/>
  <c r="I34" i="11"/>
  <c r="K33" i="11"/>
  <c r="I33" i="11"/>
  <c r="K100" i="11"/>
  <c r="I100" i="11"/>
  <c r="K99" i="11"/>
  <c r="I99" i="11"/>
  <c r="K98" i="11"/>
  <c r="I98" i="11"/>
  <c r="K97" i="11"/>
  <c r="I97" i="11"/>
  <c r="M96" i="11"/>
  <c r="K96" i="11"/>
  <c r="I96" i="11"/>
  <c r="M95" i="11"/>
  <c r="K95" i="11"/>
  <c r="I95" i="11"/>
  <c r="M94" i="11"/>
  <c r="K94" i="11"/>
  <c r="I94" i="11"/>
  <c r="M91" i="11"/>
  <c r="K91" i="11"/>
  <c r="I91" i="11"/>
  <c r="M90" i="11"/>
  <c r="K90" i="11"/>
  <c r="I90" i="11"/>
  <c r="M89" i="11"/>
  <c r="K89" i="11"/>
  <c r="I89" i="11"/>
  <c r="M88" i="11"/>
  <c r="K88" i="11"/>
  <c r="I88" i="11"/>
  <c r="M87" i="11"/>
  <c r="K87" i="11"/>
  <c r="I87" i="11"/>
  <c r="K103" i="11"/>
  <c r="I103" i="11"/>
  <c r="K102" i="11"/>
  <c r="I102" i="11"/>
  <c r="K101" i="11"/>
  <c r="I101" i="11"/>
  <c r="K83" i="11"/>
  <c r="I83" i="11"/>
  <c r="K82" i="11"/>
  <c r="I82" i="11"/>
  <c r="K81" i="11"/>
  <c r="I81" i="11"/>
  <c r="K80" i="11"/>
  <c r="I80" i="11"/>
  <c r="K79" i="11"/>
  <c r="I79" i="11"/>
  <c r="I78" i="11"/>
  <c r="K32" i="11"/>
  <c r="I32" i="11"/>
  <c r="K31" i="11"/>
  <c r="I31" i="11"/>
  <c r="K30" i="11"/>
  <c r="I30" i="11"/>
  <c r="M64" i="11"/>
  <c r="K64" i="11"/>
  <c r="I64" i="11"/>
  <c r="M63" i="11"/>
  <c r="K63" i="11"/>
  <c r="I63" i="11"/>
  <c r="M62" i="11"/>
  <c r="K62" i="11"/>
  <c r="I62" i="11"/>
  <c r="M61" i="11"/>
  <c r="K61" i="11"/>
  <c r="I61" i="11"/>
  <c r="M60" i="11"/>
  <c r="K60" i="11"/>
  <c r="I60" i="11"/>
  <c r="M59" i="11"/>
  <c r="K59" i="11"/>
  <c r="I59" i="11"/>
  <c r="M26" i="11"/>
  <c r="K26" i="11"/>
  <c r="I26" i="11"/>
  <c r="M25" i="11"/>
  <c r="K25" i="11"/>
  <c r="I25" i="11"/>
  <c r="M24" i="11"/>
  <c r="K24" i="11"/>
  <c r="I24" i="11"/>
  <c r="M23" i="11"/>
  <c r="K23" i="11"/>
  <c r="I23" i="11"/>
  <c r="M22" i="11"/>
  <c r="K22" i="11"/>
  <c r="I22" i="11"/>
  <c r="M21" i="11"/>
  <c r="K21" i="11"/>
  <c r="I21" i="11"/>
  <c r="M20" i="11"/>
  <c r="K20" i="11"/>
  <c r="I20" i="11"/>
  <c r="M19" i="11"/>
  <c r="K19" i="11"/>
  <c r="I19" i="11"/>
  <c r="M18" i="11"/>
  <c r="K18" i="11"/>
  <c r="I18" i="11"/>
  <c r="M17" i="11"/>
  <c r="K17" i="11"/>
  <c r="I17" i="11"/>
  <c r="M16" i="11"/>
  <c r="K16" i="11"/>
  <c r="I16" i="11"/>
  <c r="M12" i="11"/>
  <c r="K12" i="11"/>
  <c r="I12" i="11"/>
  <c r="M11" i="11"/>
  <c r="K11" i="11"/>
  <c r="I11" i="11"/>
  <c r="M10" i="11"/>
  <c r="K10" i="11"/>
  <c r="I10" i="11"/>
  <c r="M9" i="11"/>
  <c r="K9" i="11"/>
  <c r="I9" i="11"/>
  <c r="M8" i="11"/>
  <c r="K8" i="11"/>
  <c r="I8" i="11"/>
  <c r="M7" i="11"/>
  <c r="K7" i="11"/>
  <c r="I7" i="11"/>
  <c r="K6" i="11"/>
  <c r="K5" i="11"/>
  <c r="K4" i="11"/>
  <c r="K3" i="11"/>
  <c r="K2" i="11"/>
  <c r="K32" i="6" l="1"/>
  <c r="K33" i="6"/>
  <c r="K31" i="6"/>
  <c r="C5" i="10"/>
  <c r="D5" i="10"/>
  <c r="E5" i="10"/>
  <c r="F5" i="10"/>
  <c r="G5" i="10"/>
  <c r="H5" i="10"/>
  <c r="C6" i="10"/>
  <c r="D6" i="10"/>
  <c r="E6" i="10"/>
  <c r="F6" i="10"/>
  <c r="G6" i="10"/>
  <c r="H6" i="10"/>
  <c r="C7" i="10"/>
  <c r="D7" i="10"/>
  <c r="E7" i="10"/>
  <c r="F7" i="10"/>
  <c r="G7" i="10"/>
  <c r="H7" i="10"/>
  <c r="C8" i="10"/>
  <c r="D8" i="10"/>
  <c r="E8" i="10"/>
  <c r="F8" i="10"/>
  <c r="G8" i="10"/>
  <c r="H8" i="10"/>
  <c r="C9" i="10"/>
  <c r="D9" i="10"/>
  <c r="E9" i="10"/>
  <c r="F9" i="10"/>
  <c r="G9" i="10"/>
  <c r="H9" i="10"/>
  <c r="C10" i="10"/>
  <c r="D10" i="10"/>
  <c r="E10" i="10"/>
  <c r="F10" i="10"/>
  <c r="G10" i="10"/>
  <c r="H10" i="10"/>
  <c r="C11" i="10"/>
  <c r="D11" i="10"/>
  <c r="E11" i="10"/>
  <c r="F11" i="10"/>
  <c r="G11" i="10"/>
  <c r="H11" i="10"/>
  <c r="C12" i="10"/>
  <c r="D12" i="10"/>
  <c r="E12" i="10"/>
  <c r="F12" i="10"/>
  <c r="G12" i="10"/>
  <c r="H12" i="10"/>
  <c r="C13" i="10"/>
  <c r="D13" i="10"/>
  <c r="E13" i="10"/>
  <c r="F13" i="10"/>
  <c r="G13" i="10"/>
  <c r="H13" i="10"/>
  <c r="C14" i="10"/>
  <c r="D14" i="10"/>
  <c r="E14" i="10"/>
  <c r="F14" i="10"/>
  <c r="G14" i="10"/>
  <c r="H14" i="10"/>
  <c r="C15" i="10"/>
  <c r="D15" i="10"/>
  <c r="E15" i="10"/>
  <c r="F15" i="10"/>
  <c r="G15" i="10"/>
  <c r="H15" i="10"/>
  <c r="C16" i="10"/>
  <c r="D16" i="10"/>
  <c r="E16" i="10"/>
  <c r="F16" i="10"/>
  <c r="G16" i="10"/>
  <c r="H16" i="10"/>
  <c r="C17" i="10"/>
  <c r="D17" i="10"/>
  <c r="E17" i="10"/>
  <c r="F17" i="10"/>
  <c r="G17" i="10"/>
  <c r="H17" i="10"/>
  <c r="C18" i="10"/>
  <c r="D18" i="10"/>
  <c r="E18" i="10"/>
  <c r="F18" i="10"/>
  <c r="G18" i="10"/>
  <c r="H18" i="10"/>
  <c r="C19" i="10"/>
  <c r="D19" i="10"/>
  <c r="E19" i="10"/>
  <c r="F19" i="10"/>
  <c r="G19" i="10"/>
  <c r="H19" i="10"/>
  <c r="C20" i="10"/>
  <c r="D20" i="10"/>
  <c r="E20" i="10"/>
  <c r="F20" i="10"/>
  <c r="G20" i="10"/>
  <c r="H20" i="10"/>
  <c r="C21" i="10"/>
  <c r="D21" i="10"/>
  <c r="E21" i="10"/>
  <c r="F21" i="10"/>
  <c r="G21" i="10"/>
  <c r="H21" i="10"/>
  <c r="C22" i="10"/>
  <c r="D22" i="10"/>
  <c r="E22" i="10"/>
  <c r="F22" i="10"/>
  <c r="G22" i="10"/>
  <c r="H22" i="10"/>
  <c r="C23" i="10"/>
  <c r="D23" i="10"/>
  <c r="E23" i="10"/>
  <c r="F23" i="10"/>
  <c r="G23" i="10"/>
  <c r="H23" i="10"/>
  <c r="C24" i="10"/>
  <c r="D24" i="10"/>
  <c r="E24" i="10"/>
  <c r="F24" i="10"/>
  <c r="G24" i="10"/>
  <c r="H24" i="10"/>
  <c r="H4" i="10"/>
  <c r="G4" i="10"/>
  <c r="F4" i="10"/>
  <c r="E4" i="10"/>
  <c r="D4" i="10"/>
  <c r="C4" i="10"/>
  <c r="B6" i="10"/>
  <c r="B7" i="10"/>
  <c r="B8" i="10"/>
  <c r="B9" i="10"/>
  <c r="B10" i="10"/>
  <c r="B11" i="10"/>
  <c r="B12" i="10"/>
  <c r="B13" i="10"/>
  <c r="B14" i="10"/>
  <c r="B15" i="10"/>
  <c r="B16" i="10"/>
  <c r="B17" i="10"/>
  <c r="B18" i="10"/>
  <c r="B19" i="10"/>
  <c r="B20" i="10"/>
  <c r="B21" i="10"/>
  <c r="B22" i="10"/>
  <c r="B23" i="10"/>
  <c r="B24" i="10"/>
  <c r="B5" i="10"/>
  <c r="B4" i="10"/>
  <c r="K48" i="6"/>
  <c r="K47" i="6"/>
  <c r="K24" i="6"/>
  <c r="K23" i="6"/>
  <c r="K22" i="6"/>
  <c r="K35" i="6"/>
  <c r="K34" i="6"/>
  <c r="K14" i="6"/>
  <c r="K13" i="6"/>
  <c r="K12" i="6"/>
  <c r="K5" i="6"/>
  <c r="K27" i="6"/>
  <c r="K26" i="6"/>
  <c r="K25" i="6"/>
  <c r="K6" i="6"/>
  <c r="K18" i="6"/>
  <c r="K17" i="6"/>
  <c r="K16" i="6"/>
  <c r="K15" i="6"/>
  <c r="K4" i="6"/>
  <c r="K3" i="6"/>
  <c r="K2" i="6"/>
  <c r="K30" i="6"/>
  <c r="K29" i="6"/>
  <c r="K28" i="6"/>
  <c r="K10" i="6"/>
  <c r="K9" i="6"/>
  <c r="K8" i="6"/>
  <c r="K7"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B1" authorId="0" shapeId="0" xr:uid="{B5EFF47B-6F28-DF49-B856-040DF8FA4DA9}">
      <text>
        <r>
          <rPr>
            <sz val="12"/>
            <color rgb="FF000000"/>
            <rFont val="Arial"/>
            <family val="34"/>
          </rPr>
          <t xml:space="preserve">The spray volume is just how much liquid (water, herbicides, insecticides, etc.) comes out of the sprayer.
</t>
        </r>
      </text>
    </comment>
  </commentList>
</comments>
</file>

<file path=xl/sharedStrings.xml><?xml version="1.0" encoding="utf-8"?>
<sst xmlns="http://schemas.openxmlformats.org/spreadsheetml/2006/main" count="763" uniqueCount="395">
  <si>
    <t>Price per Unit</t>
  </si>
  <si>
    <t>Product Name</t>
  </si>
  <si>
    <t>gallon</t>
  </si>
  <si>
    <t>1.5 pt</t>
  </si>
  <si>
    <t>2.0 pt</t>
  </si>
  <si>
    <t>3.0 pt</t>
  </si>
  <si>
    <t>3 oz</t>
  </si>
  <si>
    <t>4 oz</t>
  </si>
  <si>
    <t>5 oz</t>
  </si>
  <si>
    <t>6 oz</t>
  </si>
  <si>
    <t>7 oz</t>
  </si>
  <si>
    <t>ounces</t>
  </si>
  <si>
    <t>1.5 oz</t>
  </si>
  <si>
    <t>2.0 oz</t>
  </si>
  <si>
    <t>2.5 oz</t>
  </si>
  <si>
    <t>3.0 oz</t>
  </si>
  <si>
    <t>3.3 oz</t>
  </si>
  <si>
    <t>1 pt</t>
  </si>
  <si>
    <t>2 pt</t>
  </si>
  <si>
    <t>4 pt</t>
  </si>
  <si>
    <t>0.5 pt</t>
  </si>
  <si>
    <t>0.75 pt</t>
  </si>
  <si>
    <t>1.0 pt</t>
  </si>
  <si>
    <t>4.0 pt</t>
  </si>
  <si>
    <t>2.5 pt</t>
  </si>
  <si>
    <t>12 oz</t>
  </si>
  <si>
    <t>22 oz</t>
  </si>
  <si>
    <t>4.5 pt</t>
  </si>
  <si>
    <t>Pricing Unit</t>
  </si>
  <si>
    <t>ounce</t>
  </si>
  <si>
    <t>0.125 oz</t>
  </si>
  <si>
    <t>0.250 oz</t>
  </si>
  <si>
    <t>0.375 oz</t>
  </si>
  <si>
    <t>0.625 oz</t>
  </si>
  <si>
    <t>1.250 oz</t>
  </si>
  <si>
    <t>1.0 oz</t>
  </si>
  <si>
    <t>1.25 oz</t>
  </si>
  <si>
    <t>2.75 pt</t>
  </si>
  <si>
    <t>3.5 pt</t>
  </si>
  <si>
    <t>3 pt</t>
  </si>
  <si>
    <t>4.2 pt</t>
  </si>
  <si>
    <t>1.33 oz</t>
  </si>
  <si>
    <t>aminopyralid</t>
  </si>
  <si>
    <t>2,4-D</t>
  </si>
  <si>
    <t>metsulfuron methyl</t>
  </si>
  <si>
    <t>.</t>
  </si>
  <si>
    <t>yes</t>
  </si>
  <si>
    <t>1.6 oz</t>
  </si>
  <si>
    <t>1.9 oz</t>
  </si>
  <si>
    <t>2.6 oz</t>
  </si>
  <si>
    <t>2.8 oz</t>
  </si>
  <si>
    <t>2.56 oz</t>
  </si>
  <si>
    <t>3.84 oz</t>
  </si>
  <si>
    <t>4.0 oz</t>
  </si>
  <si>
    <t>20 oz</t>
  </si>
  <si>
    <t>1.28 oz</t>
  </si>
  <si>
    <t>1.92 oz</t>
  </si>
  <si>
    <t>1 oz</t>
  </si>
  <si>
    <t>2 oz</t>
  </si>
  <si>
    <t>16 oz</t>
  </si>
  <si>
    <t>8 oz</t>
  </si>
  <si>
    <t>dicamba</t>
  </si>
  <si>
    <t>fluroxypyr</t>
  </si>
  <si>
    <t>hexazinone</t>
  </si>
  <si>
    <t>chlorsulfuron</t>
  </si>
  <si>
    <t>picloram</t>
  </si>
  <si>
    <t>triclopyr</t>
  </si>
  <si>
    <t>nicosulfuron</t>
  </si>
  <si>
    <t>sulfosulfuron</t>
  </si>
  <si>
    <t>0.5 qt</t>
  </si>
  <si>
    <t>1 qt</t>
  </si>
  <si>
    <t>2 qt</t>
  </si>
  <si>
    <t>3 qt</t>
  </si>
  <si>
    <t>4 qt</t>
  </si>
  <si>
    <t>5 qt</t>
  </si>
  <si>
    <t>glyphosate</t>
  </si>
  <si>
    <t>1.25 pt</t>
  </si>
  <si>
    <t>1.75 pt</t>
  </si>
  <si>
    <t>clopyralid</t>
  </si>
  <si>
    <t>2 mph</t>
  </si>
  <si>
    <t>3 mph</t>
  </si>
  <si>
    <t>4 mph</t>
  </si>
  <si>
    <t>5 mph</t>
  </si>
  <si>
    <t>6 mph</t>
  </si>
  <si>
    <t>7 mph</t>
  </si>
  <si>
    <t>8 mph</t>
  </si>
  <si>
    <t>1.1 oz</t>
  </si>
  <si>
    <t>2.2 oz</t>
  </si>
  <si>
    <t>1.7 oz</t>
  </si>
  <si>
    <t>0.67 pt</t>
  </si>
  <si>
    <t>5 pt</t>
  </si>
  <si>
    <t>1.1 pt</t>
  </si>
  <si>
    <t>pendimethalin</t>
  </si>
  <si>
    <t>anthranilic diamide</t>
  </si>
  <si>
    <t>Chemical Family</t>
  </si>
  <si>
    <t>carbamates</t>
  </si>
  <si>
    <t>pyrethroid</t>
  </si>
  <si>
    <t>spinosyns</t>
  </si>
  <si>
    <t>benzoylureas</t>
  </si>
  <si>
    <t>diacylhydrazines</t>
  </si>
  <si>
    <t>10 oz</t>
  </si>
  <si>
    <t xml:space="preserve"> Active Ingredient</t>
  </si>
  <si>
    <t>GlyStar® Original</t>
  </si>
  <si>
    <t>Velpar® L</t>
  </si>
  <si>
    <t>Outrider®</t>
  </si>
  <si>
    <t>Cimarron® Plus</t>
  </si>
  <si>
    <t>Pastora®</t>
  </si>
  <si>
    <t>Milestone®</t>
  </si>
  <si>
    <t>PasturAll® HL</t>
  </si>
  <si>
    <t>GrazonNext® HL</t>
  </si>
  <si>
    <t>Chaparral™</t>
  </si>
  <si>
    <t>Sendero™</t>
  </si>
  <si>
    <t>Vista® XRT</t>
  </si>
  <si>
    <t>Tordon® 22K</t>
  </si>
  <si>
    <t>Surmount®</t>
  </si>
  <si>
    <t>Remedy® Ultra</t>
  </si>
  <si>
    <t>Crossbow®</t>
  </si>
  <si>
    <t>PastureGard® HL</t>
  </si>
  <si>
    <t>Weedmaster®</t>
  </si>
  <si>
    <t>WEEDestroy® AM-40</t>
  </si>
  <si>
    <t>AgriSOLUTIONS™ 2,4-D Amine 4</t>
  </si>
  <si>
    <t>0.33 pt</t>
  </si>
  <si>
    <t>1.33 pt</t>
  </si>
  <si>
    <t>(other brands available)</t>
  </si>
  <si>
    <t>MSM 60 DF</t>
  </si>
  <si>
    <t>Freelexx™</t>
  </si>
  <si>
    <t>Sevin® XLR Plus</t>
  </si>
  <si>
    <t>Malathion 57 EC</t>
  </si>
  <si>
    <t>Baythroid® XL</t>
  </si>
  <si>
    <t>Tombstone™</t>
  </si>
  <si>
    <t>Tombstone™ HeLios</t>
  </si>
  <si>
    <t>Karate® with Zeon Technology™</t>
  </si>
  <si>
    <t>Mustang® Maxx</t>
  </si>
  <si>
    <t>Besiege®</t>
  </si>
  <si>
    <t>Blackhawk®</t>
  </si>
  <si>
    <t>Dimilin® 2L</t>
  </si>
  <si>
    <t>Intrepid® 2F</t>
  </si>
  <si>
    <t>Coragen™</t>
  </si>
  <si>
    <t>3.00 oz</t>
  </si>
  <si>
    <t>1.60 oz</t>
  </si>
  <si>
    <t>1.00 oz</t>
  </si>
  <si>
    <t>1.50 oz</t>
  </si>
  <si>
    <t>2.00 oz</t>
  </si>
  <si>
    <t>0.30 oz</t>
  </si>
  <si>
    <t>0.50 oz</t>
  </si>
  <si>
    <t>1.00 pt</t>
  </si>
  <si>
    <t>no</t>
  </si>
  <si>
    <t>1.02 oz</t>
  </si>
  <si>
    <t>1.54 oz</t>
  </si>
  <si>
    <t>Declare®</t>
  </si>
  <si>
    <t>labeled for johnsongrass</t>
  </si>
  <si>
    <t>labeled for smutgrass</t>
  </si>
  <si>
    <t>labeled for sandbur</t>
  </si>
  <si>
    <t>Active Ingredient</t>
  </si>
  <si>
    <t>carbaryl</t>
  </si>
  <si>
    <t>malathion</t>
  </si>
  <si>
    <t>beta-cyfluthrin</t>
  </si>
  <si>
    <t>cyfluthrin</t>
  </si>
  <si>
    <t>gamma-cyhalothrin</t>
  </si>
  <si>
    <t>lambda-cyhalothrin</t>
  </si>
  <si>
    <t>zeta-cypermethrin</t>
  </si>
  <si>
    <t>spinosad</t>
  </si>
  <si>
    <t>diflubenzuron</t>
  </si>
  <si>
    <t>methoxyfenozide</t>
  </si>
  <si>
    <t>chlorantraniliprole</t>
  </si>
  <si>
    <t>Mode of Action</t>
  </si>
  <si>
    <t>Amino Acid Synthesis Inhibitor</t>
  </si>
  <si>
    <t>Growth Regulator</t>
  </si>
  <si>
    <t>Photosynthesis Inhibitor</t>
  </si>
  <si>
    <t>Seedling Root Growth Inhibitor</t>
  </si>
  <si>
    <t>DuraCor™</t>
  </si>
  <si>
    <t>florpyrauxifen-benzyl</t>
  </si>
  <si>
    <t>Cellulose Biosynthesis Inhibitor</t>
  </si>
  <si>
    <t>indaziflam</t>
  </si>
  <si>
    <t>NIS</t>
  </si>
  <si>
    <t>1/2 to 2 pints</t>
  </si>
  <si>
    <t>Label Rates and Other Notes</t>
  </si>
  <si>
    <t>4 to 8 pints per 100 gallons</t>
  </si>
  <si>
    <t>(minimal postemergence activity)</t>
  </si>
  <si>
    <t>labeled for sandbur, annual ryegrass, crabgrass</t>
  </si>
  <si>
    <t>available at XYZ Farmers Coop</t>
  </si>
  <si>
    <t>good for weeds with thick cuticle</t>
  </si>
  <si>
    <t>Active Ingredient(s)</t>
  </si>
  <si>
    <t>Application Rates, 
per Acre</t>
  </si>
  <si>
    <t>Vantacor™</t>
  </si>
  <si>
    <t>1.2 oz</t>
  </si>
  <si>
    <t>0.7 oz</t>
  </si>
  <si>
    <t>Mode of Action 
Classification Group</t>
  </si>
  <si>
    <t>Labeled for 
Grasshoppers</t>
  </si>
  <si>
    <t>Labeled for 
Armyworms</t>
  </si>
  <si>
    <t xml:space="preserve">multiple products                        </t>
  </si>
  <si>
    <t>Grizzly® Z, Kendo®, etc.)</t>
  </si>
  <si>
    <t>(examples include Lambda-Cy™,</t>
  </si>
  <si>
    <t>Adjuvant Cost, 
$ per 
100 Gallons of Water</t>
  </si>
  <si>
    <t>Adjuvant Cost, 
$/acre</t>
  </si>
  <si>
    <t xml:space="preserve"> Active Ingredient, lbs/acre</t>
  </si>
  <si>
    <t>Spray Width, feet</t>
  </si>
  <si>
    <t>Tractor or Sprayer Speed</t>
  </si>
  <si>
    <t>Acres Covered/hour</t>
  </si>
  <si>
    <r>
      <t xml:space="preserve">aminopyralid: </t>
    </r>
    <r>
      <rPr>
        <sz val="12"/>
        <color rgb="FF008000"/>
        <rFont val="Arial"/>
        <family val="2"/>
      </rPr>
      <t>40.6%</t>
    </r>
  </si>
  <si>
    <r>
      <t>aminopyralid:</t>
    </r>
    <r>
      <rPr>
        <sz val="12"/>
        <color rgb="FF008000"/>
        <rFont val="Arial"/>
        <family val="2"/>
      </rPr>
      <t xml:space="preserve"> 2.0 lb/gal</t>
    </r>
  </si>
  <si>
    <r>
      <t xml:space="preserve">aminopyralid: </t>
    </r>
    <r>
      <rPr>
        <sz val="12"/>
        <color rgb="FF008000"/>
        <rFont val="Arial"/>
        <family val="2"/>
      </rPr>
      <t>2.0%</t>
    </r>
  </si>
  <si>
    <r>
      <t xml:space="preserve">aminopyralid: </t>
    </r>
    <r>
      <rPr>
        <sz val="12"/>
        <color rgb="FF008000"/>
        <rFont val="Arial"/>
        <family val="2"/>
      </rPr>
      <t>0.1 lb/gal</t>
    </r>
  </si>
  <si>
    <r>
      <t xml:space="preserve">2,4-D: </t>
    </r>
    <r>
      <rPr>
        <sz val="12"/>
        <color rgb="FF008000"/>
        <rFont val="Arial"/>
        <family val="2"/>
      </rPr>
      <t>44.45%</t>
    </r>
  </si>
  <si>
    <r>
      <t xml:space="preserve">2,4-D: </t>
    </r>
    <r>
      <rPr>
        <sz val="12"/>
        <color rgb="FF008000"/>
        <rFont val="Arial"/>
        <family val="2"/>
      </rPr>
      <t>3.54 lb/gal</t>
    </r>
  </si>
  <si>
    <r>
      <t xml:space="preserve">aminopyralid: </t>
    </r>
    <r>
      <rPr>
        <sz val="12"/>
        <color rgb="FF008000"/>
        <rFont val="Arial"/>
        <family val="2"/>
      </rPr>
      <t>8.24%</t>
    </r>
  </si>
  <si>
    <r>
      <t xml:space="preserve">aminopyralid: </t>
    </r>
    <r>
      <rPr>
        <sz val="12"/>
        <color rgb="FF008000"/>
        <rFont val="Arial"/>
        <family val="2"/>
      </rPr>
      <t>0.41 lb/gal</t>
    </r>
  </si>
  <si>
    <r>
      <t xml:space="preserve">2,4-D: </t>
    </r>
    <r>
      <rPr>
        <sz val="12"/>
        <color rgb="FF008000"/>
        <rFont val="Arial"/>
        <family val="2"/>
      </rPr>
      <t>41.26%</t>
    </r>
  </si>
  <si>
    <r>
      <t xml:space="preserve">2,4-D: </t>
    </r>
    <r>
      <rPr>
        <sz val="12"/>
        <color rgb="FF008000"/>
        <rFont val="Arial"/>
        <family val="2"/>
      </rPr>
      <t>3.33 lb/gal</t>
    </r>
  </si>
  <si>
    <r>
      <t xml:space="preserve">aminopyralid: </t>
    </r>
    <r>
      <rPr>
        <sz val="12"/>
        <color rgb="FF008000"/>
        <rFont val="Arial"/>
        <family val="2"/>
      </rPr>
      <t>8.95%</t>
    </r>
  </si>
  <si>
    <r>
      <t xml:space="preserve">aminopyralid: </t>
    </r>
    <r>
      <rPr>
        <sz val="12"/>
        <color rgb="FF008000"/>
        <rFont val="Arial"/>
        <family val="2"/>
      </rPr>
      <t>0.667 lb/gal</t>
    </r>
  </si>
  <si>
    <r>
      <t xml:space="preserve">florpyrauxifen-benzyl: </t>
    </r>
    <r>
      <rPr>
        <sz val="12"/>
        <color rgb="FF008000"/>
        <rFont val="Arial"/>
        <family val="2"/>
      </rPr>
      <t>0.76%</t>
    </r>
  </si>
  <si>
    <r>
      <t xml:space="preserve">florpyrauxifen-benzyl: </t>
    </r>
    <r>
      <rPr>
        <sz val="12"/>
        <color rgb="FF008000"/>
        <rFont val="Arial"/>
        <family val="2"/>
      </rPr>
      <t>0.067 lb/gal</t>
    </r>
  </si>
  <si>
    <r>
      <t xml:space="preserve">aminopyralid: </t>
    </r>
    <r>
      <rPr>
        <sz val="12"/>
        <color rgb="FF008000"/>
        <rFont val="Arial"/>
        <family val="2"/>
      </rPr>
      <t>62.13%</t>
    </r>
  </si>
  <si>
    <r>
      <t xml:space="preserve">aminopyralid: </t>
    </r>
    <r>
      <rPr>
        <sz val="12"/>
        <color rgb="FF008000"/>
        <rFont val="Arial"/>
        <family val="2"/>
      </rPr>
      <t>0.525 lb/lb</t>
    </r>
  </si>
  <si>
    <r>
      <t xml:space="preserve">metsulfuron methyl: </t>
    </r>
    <r>
      <rPr>
        <sz val="12"/>
        <color rgb="FF008000"/>
        <rFont val="Arial"/>
        <family val="2"/>
      </rPr>
      <t>9.45%</t>
    </r>
  </si>
  <si>
    <r>
      <t xml:space="preserve">metsulfuron methyl: </t>
    </r>
    <r>
      <rPr>
        <sz val="12"/>
        <color rgb="FF008000"/>
        <rFont val="Arial"/>
        <family val="2"/>
      </rPr>
      <t>0.0945 lb/lb</t>
    </r>
  </si>
  <si>
    <r>
      <t xml:space="preserve">aminopyralid: </t>
    </r>
    <r>
      <rPr>
        <sz val="12"/>
        <color rgb="FF008000"/>
        <rFont val="Arial"/>
        <family val="2"/>
      </rPr>
      <t>6.02%</t>
    </r>
  </si>
  <si>
    <r>
      <t xml:space="preserve">aminopyralid: </t>
    </r>
    <r>
      <rPr>
        <sz val="12"/>
        <color rgb="FF008000"/>
        <rFont val="Arial"/>
        <family val="2"/>
      </rPr>
      <t>0.5 lb/gal</t>
    </r>
  </si>
  <si>
    <r>
      <t xml:space="preserve">clopyralid: </t>
    </r>
    <r>
      <rPr>
        <sz val="12"/>
        <color rgb="FF008000"/>
        <rFont val="Arial"/>
        <family val="2"/>
      </rPr>
      <t>30.82%</t>
    </r>
  </si>
  <si>
    <r>
      <t xml:space="preserve">clopyralid: </t>
    </r>
    <r>
      <rPr>
        <sz val="12"/>
        <color rgb="FF008000"/>
        <rFont val="Arial"/>
        <family val="2"/>
      </rPr>
      <t>2.3 lb/gal</t>
    </r>
  </si>
  <si>
    <r>
      <t xml:space="preserve">clopyralid: </t>
    </r>
    <r>
      <rPr>
        <sz val="12"/>
        <color rgb="FF008000"/>
        <rFont val="Arial"/>
        <family val="2"/>
      </rPr>
      <t>40.90%</t>
    </r>
  </si>
  <si>
    <r>
      <t xml:space="preserve">fluroxypyr: </t>
    </r>
    <r>
      <rPr>
        <sz val="12"/>
        <color rgb="FF008000"/>
        <rFont val="Arial"/>
        <family val="2"/>
      </rPr>
      <t>45.52%</t>
    </r>
  </si>
  <si>
    <r>
      <t xml:space="preserve">fluroxypyr: </t>
    </r>
    <r>
      <rPr>
        <sz val="12"/>
        <color rgb="FF008000"/>
        <rFont val="Arial"/>
        <family val="2"/>
      </rPr>
      <t>2.8 lb/gal</t>
    </r>
  </si>
  <si>
    <r>
      <t>picloram:</t>
    </r>
    <r>
      <rPr>
        <sz val="12"/>
        <color rgb="FF008000"/>
        <rFont val="Arial"/>
        <family val="2"/>
      </rPr>
      <t xml:space="preserve"> 24.4%</t>
    </r>
  </si>
  <si>
    <r>
      <t>picloram:</t>
    </r>
    <r>
      <rPr>
        <sz val="12"/>
        <color rgb="FF008000"/>
        <rFont val="Arial"/>
        <family val="2"/>
      </rPr>
      <t xml:space="preserve"> 2.0 lb/gal</t>
    </r>
  </si>
  <si>
    <r>
      <t>picloram:</t>
    </r>
    <r>
      <rPr>
        <sz val="12"/>
        <color rgb="FF008000"/>
        <rFont val="Arial"/>
        <family val="2"/>
      </rPr>
      <t xml:space="preserve"> 10.2%</t>
    </r>
  </si>
  <si>
    <r>
      <t>picloram:</t>
    </r>
    <r>
      <rPr>
        <sz val="12"/>
        <color rgb="FF008000"/>
        <rFont val="Arial"/>
        <family val="2"/>
      </rPr>
      <t xml:space="preserve"> 0.54 lb/gal</t>
    </r>
  </si>
  <si>
    <r>
      <t>2,4-D:</t>
    </r>
    <r>
      <rPr>
        <sz val="12"/>
        <color rgb="FF008000"/>
        <rFont val="Arial"/>
        <family val="2"/>
      </rPr>
      <t xml:space="preserve"> 39.6%</t>
    </r>
  </si>
  <si>
    <r>
      <t>2,4-D:</t>
    </r>
    <r>
      <rPr>
        <sz val="12"/>
        <color rgb="FF008000"/>
        <rFont val="Arial"/>
        <family val="2"/>
      </rPr>
      <t xml:space="preserve"> 2 lb/gal</t>
    </r>
  </si>
  <si>
    <r>
      <t>picloram:</t>
    </r>
    <r>
      <rPr>
        <sz val="12"/>
        <color rgb="FF008000"/>
        <rFont val="Arial"/>
        <family val="2"/>
      </rPr>
      <t xml:space="preserve"> 14.44%</t>
    </r>
  </si>
  <si>
    <r>
      <t>picloram:</t>
    </r>
    <r>
      <rPr>
        <sz val="12"/>
        <color rgb="FF008000"/>
        <rFont val="Arial"/>
        <family val="2"/>
      </rPr>
      <t xml:space="preserve"> 0.81 lb/gal</t>
    </r>
  </si>
  <si>
    <r>
      <t>2,4-D:</t>
    </r>
    <r>
      <rPr>
        <sz val="12"/>
        <color rgb="FF008000"/>
        <rFont val="Arial"/>
        <family val="2"/>
      </rPr>
      <t xml:space="preserve"> 43.62%</t>
    </r>
  </si>
  <si>
    <r>
      <t>2,4-D:</t>
    </r>
    <r>
      <rPr>
        <sz val="12"/>
        <color rgb="FF008000"/>
        <rFont val="Arial"/>
        <family val="2"/>
      </rPr>
      <t xml:space="preserve"> 3 lb/gal</t>
    </r>
  </si>
  <si>
    <r>
      <t>picloram:</t>
    </r>
    <r>
      <rPr>
        <sz val="12"/>
        <color rgb="FF008000"/>
        <rFont val="Arial"/>
        <family val="2"/>
      </rPr>
      <t xml:space="preserve"> 13.24%</t>
    </r>
  </si>
  <si>
    <r>
      <t>picloram:</t>
    </r>
    <r>
      <rPr>
        <sz val="12"/>
        <color rgb="FF008000"/>
        <rFont val="Arial"/>
        <family val="2"/>
      </rPr>
      <t xml:space="preserve"> 0.67 lb/gal</t>
    </r>
  </si>
  <si>
    <r>
      <t xml:space="preserve">fluroxypyr: </t>
    </r>
    <r>
      <rPr>
        <sz val="12"/>
        <color rgb="FF008000"/>
        <rFont val="Arial"/>
        <family val="2"/>
      </rPr>
      <t>10.64%</t>
    </r>
  </si>
  <si>
    <r>
      <t xml:space="preserve">fluroxypyr: </t>
    </r>
    <r>
      <rPr>
        <sz val="12"/>
        <color rgb="FF008000"/>
        <rFont val="Arial"/>
        <family val="2"/>
      </rPr>
      <t>0.67 lb/gal</t>
    </r>
  </si>
  <si>
    <r>
      <t xml:space="preserve">triclopyr: </t>
    </r>
    <r>
      <rPr>
        <sz val="12"/>
        <color rgb="FF008000"/>
        <rFont val="Arial"/>
        <family val="2"/>
      </rPr>
      <t>60.45%</t>
    </r>
  </si>
  <si>
    <r>
      <t xml:space="preserve">triclopyr: </t>
    </r>
    <r>
      <rPr>
        <sz val="12"/>
        <color rgb="FF008000"/>
        <rFont val="Arial"/>
        <family val="2"/>
      </rPr>
      <t>4 lb/gal</t>
    </r>
  </si>
  <si>
    <r>
      <t xml:space="preserve">triclopyr: </t>
    </r>
    <r>
      <rPr>
        <sz val="12"/>
        <color rgb="FF008000"/>
        <rFont val="Arial"/>
        <family val="2"/>
      </rPr>
      <t>16.5%</t>
    </r>
  </si>
  <si>
    <r>
      <t xml:space="preserve">triclopyr: </t>
    </r>
    <r>
      <rPr>
        <sz val="12"/>
        <color rgb="FF008000"/>
        <rFont val="Arial"/>
        <family val="2"/>
      </rPr>
      <t>1 lb/gal</t>
    </r>
  </si>
  <si>
    <r>
      <t xml:space="preserve">2,4-D: </t>
    </r>
    <r>
      <rPr>
        <sz val="12"/>
        <color rgb="FF008000"/>
        <rFont val="Arial"/>
        <family val="2"/>
      </rPr>
      <t>34.4%</t>
    </r>
  </si>
  <si>
    <r>
      <t xml:space="preserve">2,4-D: </t>
    </r>
    <r>
      <rPr>
        <sz val="12"/>
        <color rgb="FF008000"/>
        <rFont val="Arial"/>
        <family val="2"/>
      </rPr>
      <t>2 lb/gal</t>
    </r>
  </si>
  <si>
    <r>
      <t xml:space="preserve">triclopyr: </t>
    </r>
    <r>
      <rPr>
        <sz val="12"/>
        <color rgb="FF008000"/>
        <rFont val="Arial"/>
        <family val="2"/>
      </rPr>
      <t>45.07%</t>
    </r>
  </si>
  <si>
    <r>
      <t xml:space="preserve">triclopyr: </t>
    </r>
    <r>
      <rPr>
        <sz val="12"/>
        <color rgb="FF008000"/>
        <rFont val="Arial"/>
        <family val="2"/>
      </rPr>
      <t>3.0 lb/gal</t>
    </r>
  </si>
  <si>
    <r>
      <t xml:space="preserve">fluroxypyr: </t>
    </r>
    <r>
      <rPr>
        <sz val="12"/>
        <color rgb="FF008000"/>
        <rFont val="Arial"/>
        <family val="2"/>
      </rPr>
      <t>15.56%</t>
    </r>
  </si>
  <si>
    <r>
      <t xml:space="preserve">fluroxypyr: </t>
    </r>
    <r>
      <rPr>
        <sz val="12"/>
        <color rgb="FF008000"/>
        <rFont val="Arial"/>
        <family val="2"/>
      </rPr>
      <t>1.0 lb/gal</t>
    </r>
  </si>
  <si>
    <r>
      <t>dicamba:</t>
    </r>
    <r>
      <rPr>
        <sz val="12"/>
        <color rgb="FF008000"/>
        <rFont val="Arial"/>
        <family val="2"/>
      </rPr>
      <t xml:space="preserve"> 12.4%</t>
    </r>
  </si>
  <si>
    <r>
      <t>dicamba:</t>
    </r>
    <r>
      <rPr>
        <sz val="12"/>
        <color rgb="FF008000"/>
        <rFont val="Arial"/>
        <family val="2"/>
      </rPr>
      <t xml:space="preserve"> 1 lb/gal</t>
    </r>
  </si>
  <si>
    <r>
      <t>2,4-D:</t>
    </r>
    <r>
      <rPr>
        <sz val="12"/>
        <color rgb="FF008000"/>
        <rFont val="Arial"/>
        <family val="2"/>
      </rPr>
      <t xml:space="preserve"> 35.7%</t>
    </r>
  </si>
  <si>
    <r>
      <t>2,4-D:</t>
    </r>
    <r>
      <rPr>
        <sz val="12"/>
        <color rgb="FF008000"/>
        <rFont val="Arial"/>
        <family val="2"/>
      </rPr>
      <t xml:space="preserve"> 2.87 lb/gal</t>
    </r>
  </si>
  <si>
    <r>
      <t xml:space="preserve">2,4-D </t>
    </r>
    <r>
      <rPr>
        <sz val="12"/>
        <color rgb="FFFF0000"/>
        <rFont val="Arial"/>
        <family val="2"/>
      </rPr>
      <t>amine salt</t>
    </r>
    <r>
      <rPr>
        <sz val="12"/>
        <color theme="1"/>
        <rFont val="Arial"/>
        <family val="2"/>
      </rPr>
      <t xml:space="preserve">: </t>
    </r>
    <r>
      <rPr>
        <sz val="12"/>
        <color rgb="FF008000"/>
        <rFont val="Arial"/>
        <family val="2"/>
      </rPr>
      <t>46.80%</t>
    </r>
  </si>
  <si>
    <r>
      <t xml:space="preserve">2,4-D: </t>
    </r>
    <r>
      <rPr>
        <sz val="12"/>
        <color rgb="FF008000"/>
        <rFont val="Arial"/>
        <family val="2"/>
      </rPr>
      <t>3.8 lb/gal</t>
    </r>
  </si>
  <si>
    <r>
      <t xml:space="preserve">2,4-D </t>
    </r>
    <r>
      <rPr>
        <sz val="12"/>
        <color rgb="FFFF0000"/>
        <rFont val="Arial"/>
        <family val="2"/>
      </rPr>
      <t>amine salt</t>
    </r>
    <r>
      <rPr>
        <sz val="12"/>
        <color theme="1"/>
        <rFont val="Arial"/>
        <family val="2"/>
      </rPr>
      <t xml:space="preserve">: </t>
    </r>
    <r>
      <rPr>
        <sz val="12"/>
        <color rgb="FF008000"/>
        <rFont val="Arial"/>
        <family val="2"/>
      </rPr>
      <t>47.30%</t>
    </r>
  </si>
  <si>
    <r>
      <t xml:space="preserve">2,4-D </t>
    </r>
    <r>
      <rPr>
        <sz val="12"/>
        <color rgb="FFFF0000"/>
        <rFont val="Arial"/>
        <family val="2"/>
      </rPr>
      <t>choline salt</t>
    </r>
    <r>
      <rPr>
        <sz val="12"/>
        <color theme="1"/>
        <rFont val="Arial"/>
        <family val="2"/>
      </rPr>
      <t xml:space="preserve">: </t>
    </r>
    <r>
      <rPr>
        <sz val="12"/>
        <color rgb="FF00B050"/>
        <rFont val="Arial"/>
        <family val="2"/>
      </rPr>
      <t>56.30%</t>
    </r>
  </si>
  <si>
    <r>
      <t xml:space="preserve">glyphosate: </t>
    </r>
    <r>
      <rPr>
        <sz val="12"/>
        <color rgb="FF008000"/>
        <rFont val="Arial"/>
        <family val="2"/>
      </rPr>
      <t>41%</t>
    </r>
  </si>
  <si>
    <r>
      <t xml:space="preserve">glyphosate: </t>
    </r>
    <r>
      <rPr>
        <sz val="12"/>
        <color rgb="FF008000"/>
        <rFont val="Arial"/>
        <family val="2"/>
      </rPr>
      <t>4 lb/gal</t>
    </r>
  </si>
  <si>
    <r>
      <t xml:space="preserve">metsulfuron methyl: </t>
    </r>
    <r>
      <rPr>
        <sz val="12"/>
        <color rgb="FF008000"/>
        <rFont val="Arial"/>
        <family val="2"/>
      </rPr>
      <t>0.60 lb/lb</t>
    </r>
  </si>
  <si>
    <r>
      <t xml:space="preserve">metsulfuron methyl: </t>
    </r>
    <r>
      <rPr>
        <sz val="12"/>
        <color rgb="FF008000"/>
        <rFont val="Arial"/>
        <family val="2"/>
      </rPr>
      <t>48%</t>
    </r>
  </si>
  <si>
    <r>
      <t xml:space="preserve">metsulfuron methyl: </t>
    </r>
    <r>
      <rPr>
        <sz val="12"/>
        <color rgb="FF008000"/>
        <rFont val="Arial"/>
        <family val="2"/>
      </rPr>
      <t>0.48 lb/lb</t>
    </r>
  </si>
  <si>
    <r>
      <t xml:space="preserve">chlorsulfuron: </t>
    </r>
    <r>
      <rPr>
        <sz val="12"/>
        <color rgb="FF008000"/>
        <rFont val="Arial"/>
        <family val="2"/>
      </rPr>
      <t>15%</t>
    </r>
  </si>
  <si>
    <r>
      <t xml:space="preserve">chlorsulfuron: </t>
    </r>
    <r>
      <rPr>
        <sz val="12"/>
        <color rgb="FF008000"/>
        <rFont val="Arial"/>
        <family val="2"/>
      </rPr>
      <t>0.15 lb/lb</t>
    </r>
  </si>
  <si>
    <r>
      <t xml:space="preserve">sulfosulfuron: </t>
    </r>
    <r>
      <rPr>
        <sz val="12"/>
        <color rgb="FF008000"/>
        <rFont val="Arial"/>
        <family val="2"/>
      </rPr>
      <t>75%</t>
    </r>
  </si>
  <si>
    <r>
      <t xml:space="preserve">sulfosulfuron: </t>
    </r>
    <r>
      <rPr>
        <sz val="12"/>
        <color rgb="FF008000"/>
        <rFont val="Arial"/>
        <family val="2"/>
      </rPr>
      <t>0.75 lb/lb</t>
    </r>
  </si>
  <si>
    <r>
      <t xml:space="preserve">nicosulfuron: </t>
    </r>
    <r>
      <rPr>
        <sz val="12"/>
        <color rgb="FF008000"/>
        <rFont val="Arial"/>
        <family val="2"/>
      </rPr>
      <t>56.2%</t>
    </r>
  </si>
  <si>
    <r>
      <t xml:space="preserve">nicosulfuron: </t>
    </r>
    <r>
      <rPr>
        <sz val="12"/>
        <color rgb="FF008000"/>
        <rFont val="Arial"/>
        <family val="2"/>
      </rPr>
      <t>0.562 lb/lb</t>
    </r>
  </si>
  <si>
    <r>
      <t xml:space="preserve">metsulfuron methyl: </t>
    </r>
    <r>
      <rPr>
        <sz val="12"/>
        <color rgb="FF008000"/>
        <rFont val="Arial"/>
        <family val="2"/>
      </rPr>
      <t>15%</t>
    </r>
  </si>
  <si>
    <r>
      <t xml:space="preserve">metsulfuron methyl: </t>
    </r>
    <r>
      <rPr>
        <sz val="12"/>
        <color rgb="FF008000"/>
        <rFont val="Arial"/>
        <family val="2"/>
      </rPr>
      <t>0.15 lb/lb</t>
    </r>
  </si>
  <si>
    <r>
      <t>Prowl® H</t>
    </r>
    <r>
      <rPr>
        <vertAlign val="subscript"/>
        <sz val="12"/>
        <color theme="1"/>
        <rFont val="Arial"/>
        <family val="2"/>
      </rPr>
      <t>2</t>
    </r>
    <r>
      <rPr>
        <sz val="12"/>
        <color theme="1"/>
        <rFont val="Arial"/>
        <family val="2"/>
      </rPr>
      <t>O</t>
    </r>
  </si>
  <si>
    <r>
      <t>pendimethalin:</t>
    </r>
    <r>
      <rPr>
        <sz val="12"/>
        <color rgb="FF008000"/>
        <rFont val="Arial"/>
        <family val="2"/>
      </rPr>
      <t xml:space="preserve"> 38.7%</t>
    </r>
  </si>
  <si>
    <r>
      <t>pendimethalin:</t>
    </r>
    <r>
      <rPr>
        <sz val="12"/>
        <color rgb="FF008000"/>
        <rFont val="Arial"/>
        <family val="2"/>
      </rPr>
      <t xml:space="preserve"> 3.8 lb/gal</t>
    </r>
  </si>
  <si>
    <r>
      <t xml:space="preserve">hexazinone: </t>
    </r>
    <r>
      <rPr>
        <sz val="12"/>
        <color rgb="FF008000"/>
        <rFont val="Arial"/>
        <family val="2"/>
      </rPr>
      <t>25%</t>
    </r>
  </si>
  <si>
    <r>
      <t xml:space="preserve">hexazinone: </t>
    </r>
    <r>
      <rPr>
        <sz val="12"/>
        <color rgb="FF008000"/>
        <rFont val="Arial"/>
        <family val="2"/>
      </rPr>
      <t>2.0 lb/gal</t>
    </r>
  </si>
  <si>
    <r>
      <t>Rezilon</t>
    </r>
    <r>
      <rPr>
        <vertAlign val="superscript"/>
        <sz val="12"/>
        <color theme="1"/>
        <rFont val="Arial"/>
        <family val="2"/>
      </rPr>
      <t>TM</t>
    </r>
  </si>
  <si>
    <r>
      <t xml:space="preserve">indaziflam: </t>
    </r>
    <r>
      <rPr>
        <sz val="12"/>
        <color rgb="FF008000"/>
        <rFont val="Arial"/>
        <family val="2"/>
      </rPr>
      <t>1.67 lb/gal</t>
    </r>
  </si>
  <si>
    <r>
      <t xml:space="preserve">carbaryl: </t>
    </r>
    <r>
      <rPr>
        <sz val="12"/>
        <color rgb="FF008000"/>
        <rFont val="Arial"/>
        <family val="2"/>
      </rPr>
      <t>44.1%</t>
    </r>
  </si>
  <si>
    <r>
      <t xml:space="preserve">carbaryl: </t>
    </r>
    <r>
      <rPr>
        <sz val="12"/>
        <color rgb="FF008000"/>
        <rFont val="Arial"/>
        <family val="2"/>
      </rPr>
      <t>4.0 lb/gal</t>
    </r>
  </si>
  <si>
    <r>
      <t xml:space="preserve">malathion: </t>
    </r>
    <r>
      <rPr>
        <sz val="12"/>
        <color rgb="FF008000"/>
        <rFont val="Arial"/>
        <family val="2"/>
      </rPr>
      <t>57%</t>
    </r>
  </si>
  <si>
    <r>
      <t xml:space="preserve">malathion: </t>
    </r>
    <r>
      <rPr>
        <sz val="12"/>
        <color rgb="FF008000"/>
        <rFont val="Arial"/>
        <family val="2"/>
      </rPr>
      <t>5.0 lb/gal</t>
    </r>
  </si>
  <si>
    <r>
      <t xml:space="preserve">beta-cyfluthrin: </t>
    </r>
    <r>
      <rPr>
        <sz val="12"/>
        <color rgb="FF008000"/>
        <rFont val="Arial"/>
        <family val="2"/>
      </rPr>
      <t>12.70%</t>
    </r>
  </si>
  <si>
    <r>
      <t>beta-cyfluthrin:</t>
    </r>
    <r>
      <rPr>
        <sz val="12"/>
        <color rgb="FF008000"/>
        <rFont val="Arial"/>
        <family val="2"/>
      </rPr>
      <t xml:space="preserve"> 1.0 lb/gal</t>
    </r>
  </si>
  <si>
    <r>
      <t xml:space="preserve">cyfluthrin: </t>
    </r>
    <r>
      <rPr>
        <sz val="12"/>
        <color rgb="FF008000"/>
        <rFont val="Arial"/>
        <family val="2"/>
      </rPr>
      <t>24.74%</t>
    </r>
  </si>
  <si>
    <r>
      <t xml:space="preserve">cyfluthrin: </t>
    </r>
    <r>
      <rPr>
        <sz val="12"/>
        <color rgb="FF008000"/>
        <rFont val="Arial"/>
        <family val="2"/>
      </rPr>
      <t>2.0 lb/gal</t>
    </r>
  </si>
  <si>
    <r>
      <t xml:space="preserve">cyfluthrin: </t>
    </r>
    <r>
      <rPr>
        <sz val="12"/>
        <color rgb="FF008000"/>
        <rFont val="Arial"/>
        <family val="2"/>
      </rPr>
      <t>25%</t>
    </r>
  </si>
  <si>
    <r>
      <t xml:space="preserve">gamma-cyhalothrin: </t>
    </r>
    <r>
      <rPr>
        <sz val="12"/>
        <color rgb="FF008000"/>
        <rFont val="Arial"/>
        <family val="2"/>
      </rPr>
      <t>14.4%</t>
    </r>
  </si>
  <si>
    <r>
      <t xml:space="preserve">gamma-cyhalothrin: </t>
    </r>
    <r>
      <rPr>
        <sz val="12"/>
        <color rgb="FF008000"/>
        <rFont val="Arial"/>
        <family val="2"/>
      </rPr>
      <t>1.25 lb/gal</t>
    </r>
  </si>
  <si>
    <r>
      <t>lambda-cyhalothrin:</t>
    </r>
    <r>
      <rPr>
        <sz val="12"/>
        <color rgb="FF008000"/>
        <rFont val="Arial"/>
        <family val="2"/>
      </rPr>
      <t xml:space="preserve"> 11.4% or 13.1%</t>
    </r>
  </si>
  <si>
    <r>
      <t xml:space="preserve">lambda-cyhalothrin: </t>
    </r>
    <r>
      <rPr>
        <sz val="12"/>
        <color rgb="FF008000"/>
        <rFont val="Arial"/>
        <family val="2"/>
      </rPr>
      <t>1.0 lb/gal</t>
    </r>
  </si>
  <si>
    <r>
      <t xml:space="preserve">lambda-cyhalothrin: </t>
    </r>
    <r>
      <rPr>
        <sz val="12"/>
        <color rgb="FF008000"/>
        <rFont val="Arial"/>
        <family val="2"/>
      </rPr>
      <t>22.8%</t>
    </r>
  </si>
  <si>
    <r>
      <t xml:space="preserve">lambda-cyhalothrin: </t>
    </r>
    <r>
      <rPr>
        <sz val="12"/>
        <color rgb="FF008000"/>
        <rFont val="Arial"/>
        <family val="2"/>
      </rPr>
      <t>2.08 lb/gal</t>
    </r>
  </si>
  <si>
    <r>
      <t xml:space="preserve">zeta-cypermethrin: </t>
    </r>
    <r>
      <rPr>
        <sz val="12"/>
        <color rgb="FF008000"/>
        <rFont val="Arial"/>
        <family val="2"/>
      </rPr>
      <t>9.15%</t>
    </r>
  </si>
  <si>
    <r>
      <t xml:space="preserve">zeta-cypermethrin: </t>
    </r>
    <r>
      <rPr>
        <sz val="12"/>
        <color rgb="FF008000"/>
        <rFont val="Arial"/>
        <family val="2"/>
      </rPr>
      <t>0.8 lb/gal</t>
    </r>
  </si>
  <si>
    <r>
      <t>spinosad:</t>
    </r>
    <r>
      <rPr>
        <sz val="12"/>
        <color rgb="FF008000"/>
        <rFont val="Arial"/>
        <family val="2"/>
      </rPr>
      <t xml:space="preserve"> 36%</t>
    </r>
  </si>
  <si>
    <r>
      <t>spinosad:</t>
    </r>
    <r>
      <rPr>
        <sz val="12"/>
        <color rgb="FF008000"/>
        <rFont val="Arial"/>
        <family val="2"/>
      </rPr>
      <t xml:space="preserve"> 2.91 lb/gal</t>
    </r>
  </si>
  <si>
    <r>
      <t>diflubenzuron:</t>
    </r>
    <r>
      <rPr>
        <sz val="12"/>
        <color rgb="FF008000"/>
        <rFont val="Arial"/>
        <family val="2"/>
      </rPr>
      <t xml:space="preserve"> 22%</t>
    </r>
  </si>
  <si>
    <r>
      <t>diflubenzuron:</t>
    </r>
    <r>
      <rPr>
        <sz val="12"/>
        <color rgb="FF008000"/>
        <rFont val="Arial"/>
        <family val="2"/>
      </rPr>
      <t xml:space="preserve"> 2.0 lb/gal</t>
    </r>
  </si>
  <si>
    <r>
      <t>methoxyfenozide:</t>
    </r>
    <r>
      <rPr>
        <sz val="12"/>
        <color rgb="FF008000"/>
        <rFont val="Arial"/>
        <family val="2"/>
      </rPr>
      <t xml:space="preserve"> 22.6%</t>
    </r>
  </si>
  <si>
    <r>
      <t>methoxyfenozide:</t>
    </r>
    <r>
      <rPr>
        <sz val="12"/>
        <color rgb="FF008000"/>
        <rFont val="Arial"/>
        <family val="2"/>
      </rPr>
      <t xml:space="preserve"> 2.0 lb/gal</t>
    </r>
  </si>
  <si>
    <r>
      <t xml:space="preserve">chlorantraniliprole: </t>
    </r>
    <r>
      <rPr>
        <sz val="12"/>
        <color rgb="FF008000"/>
        <rFont val="Arial"/>
        <family val="2"/>
      </rPr>
      <t>47.85%</t>
    </r>
  </si>
  <si>
    <r>
      <t xml:space="preserve">chlorantraniliprole: </t>
    </r>
    <r>
      <rPr>
        <sz val="12"/>
        <color rgb="FF008000"/>
        <rFont val="Arial"/>
        <family val="2"/>
      </rPr>
      <t>5 lb/gal</t>
    </r>
  </si>
  <si>
    <r>
      <t xml:space="preserve">chlorantraniliprole: </t>
    </r>
    <r>
      <rPr>
        <sz val="12"/>
        <color rgb="FF008000"/>
        <rFont val="Arial"/>
        <family val="2"/>
      </rPr>
      <t>18.4%</t>
    </r>
  </si>
  <si>
    <r>
      <t xml:space="preserve">chlorantraniliprole: </t>
    </r>
    <r>
      <rPr>
        <sz val="12"/>
        <color rgb="FF008000"/>
        <rFont val="Arial"/>
        <family val="2"/>
      </rPr>
      <t>1.67 lb/gal</t>
    </r>
  </si>
  <si>
    <r>
      <t xml:space="preserve">chlorantraniliprole: </t>
    </r>
    <r>
      <rPr>
        <sz val="12"/>
        <color rgb="FF008000"/>
        <rFont val="Arial"/>
        <family val="2"/>
      </rPr>
      <t>9.26%</t>
    </r>
  </si>
  <si>
    <r>
      <t xml:space="preserve">chlorantraniliprole: </t>
    </r>
    <r>
      <rPr>
        <sz val="12"/>
        <color rgb="FF008000"/>
        <rFont val="Arial"/>
        <family val="2"/>
      </rPr>
      <t>0.835 lb/gal</t>
    </r>
  </si>
  <si>
    <r>
      <t xml:space="preserve">lambda-cyhalothrin: </t>
    </r>
    <r>
      <rPr>
        <sz val="12"/>
        <color rgb="FF008000"/>
        <rFont val="Arial"/>
        <family val="2"/>
      </rPr>
      <t>4.63%</t>
    </r>
  </si>
  <si>
    <r>
      <t xml:space="preserve">lambda-cyhalothrin: </t>
    </r>
    <r>
      <rPr>
        <sz val="12"/>
        <color rgb="FF008000"/>
        <rFont val="Arial"/>
        <family val="2"/>
      </rPr>
      <t>0.417 lb/gal</t>
    </r>
  </si>
  <si>
    <t>Spray Volume, 
Gallons/Acre</t>
  </si>
  <si>
    <t>Adjuvant Price, 
$/Gallon</t>
  </si>
  <si>
    <t>Herbicide Cost, 
$/acre</t>
  </si>
  <si>
    <t>Clean Slate®</t>
  </si>
  <si>
    <t>(pre-emergent only)</t>
  </si>
  <si>
    <t>Active Ingredient, 
lbs/acre</t>
  </si>
  <si>
    <t>organophosphates</t>
  </si>
  <si>
    <t>Site of 
Action Group</t>
  </si>
  <si>
    <t>The zoom feature at the bottom right hand corner of the excel window can be used to increase or decrease the size of these publications to the desired size for reading each publication.</t>
  </si>
  <si>
    <t>Notes and Comments:</t>
  </si>
  <si>
    <t>Herbicide cost per acre should not be the only factor in choosing a product. In addition to cost, the following factors should also be considered: weeds controlled, label use restrictions, grazing and harvest restrictions, residual control, potential impacts on other crops that have been or will be planted in the future (e.g. legumes), and environmental impact.</t>
  </si>
  <si>
    <t>Active Ingredient
Equivalent(s), lbs/unit</t>
  </si>
  <si>
    <t>Active Ingredient
Equivalent(s), lbs/gal</t>
  </si>
  <si>
    <t>Insecticide cost per acre should not be the only factor in choosing a product. In addition to cost, the following factors should also be considered: insects controlled, label use restrictions, grazing and harvest restrictions, residual control, and environmental impact.</t>
  </si>
  <si>
    <t>Application Rates
per Acre</t>
  </si>
  <si>
    <t>Insecticide Cost,
$/acre</t>
  </si>
  <si>
    <r>
      <t xml:space="preserve">Application Rate, 
</t>
    </r>
    <r>
      <rPr>
        <b/>
        <u/>
        <sz val="12"/>
        <color theme="1"/>
        <rFont val="Arial"/>
        <family val="2"/>
      </rPr>
      <t>Pints</t>
    </r>
    <r>
      <rPr>
        <b/>
        <sz val="12"/>
        <color theme="1"/>
        <rFont val="Arial"/>
        <family val="2"/>
      </rPr>
      <t xml:space="preserve"> of Adjuvant per 
100 Gallons of Water</t>
    </r>
  </si>
  <si>
    <t xml:space="preserve">Products highlighted with the same color, contain some of the same active ingredients. </t>
  </si>
  <si>
    <t xml:space="preserve">Products below are often used for control of certain grass species; they may also have control on some broadleaf and brush species. </t>
  </si>
  <si>
    <t xml:space="preserve">Products highlighted in the same color are classified in the same mode of action group. </t>
  </si>
  <si>
    <r>
      <t xml:space="preserve">metsulfuron methyl: </t>
    </r>
    <r>
      <rPr>
        <sz val="12"/>
        <color rgb="FF008000"/>
        <rFont val="Arial"/>
        <family val="2"/>
      </rPr>
      <t>60%</t>
    </r>
  </si>
  <si>
    <r>
      <t xml:space="preserve">indaziflam: </t>
    </r>
    <r>
      <rPr>
        <sz val="12"/>
        <color rgb="FF008000"/>
        <rFont val="Arial"/>
        <family val="2"/>
      </rPr>
      <t>19.05%</t>
    </r>
  </si>
  <si>
    <r>
      <t xml:space="preserve">clopyralid: </t>
    </r>
    <r>
      <rPr>
        <sz val="12"/>
        <color rgb="FF008000"/>
        <rFont val="Arial"/>
        <family val="2"/>
      </rPr>
      <t>3 lb/gal</t>
    </r>
  </si>
  <si>
    <t>1.2 pt</t>
  </si>
  <si>
    <t>2.1 pt</t>
  </si>
  <si>
    <t>1.0 qt</t>
  </si>
  <si>
    <t>1.5 qt</t>
  </si>
  <si>
    <t>1 to 4 pints per 100 gallons</t>
  </si>
  <si>
    <t xml:space="preserve">Only a partial listing of available products is included. No discrimination is intended by the omission of a product. </t>
  </si>
  <si>
    <t>Herbicide and Insecticide Cost per Acre Spreadsheet for Pastures and Hayfields</t>
  </si>
  <si>
    <t>J.P. Banta and V. Corriher-Olson</t>
  </si>
  <si>
    <t>Texas A&amp;M AgriLife Extension Service</t>
  </si>
  <si>
    <t xml:space="preserve">General: </t>
  </si>
  <si>
    <r>
      <t xml:space="preserve">These spreadsheets are designed to provide tools to aid in determining application rates and costs for herbicides, insecticides, and adjuvants (surfactants) commonly used in the management of pastures and hayfields. It is divided into six sheets which are listed below with directions for each. </t>
    </r>
    <r>
      <rPr>
        <sz val="12"/>
        <color rgb="FF262EFF"/>
        <rFont val="Calibri"/>
        <family val="2"/>
        <scheme val="minor"/>
      </rPr>
      <t>Cells with blue font can be changed.</t>
    </r>
    <r>
      <rPr>
        <sz val="12"/>
        <color theme="1"/>
        <rFont val="Calibri"/>
        <family val="2"/>
        <scheme val="minor"/>
      </rPr>
      <t xml:space="preserve"> All other cells are locked.</t>
    </r>
  </si>
  <si>
    <r>
      <t xml:space="preserve">The information given herein is for educational purposes only. Reference to commercial products or trade names is made with the understanding that no discrimination is intended and no endorsement by the Texas A&amp;M AgriLife Extension Service is implied. Product names are included solely to aid users in locating and identifying herbicides. </t>
    </r>
    <r>
      <rPr>
        <u/>
        <sz val="12"/>
        <color theme="1"/>
        <rFont val="Calibri"/>
        <family val="2"/>
        <scheme val="minor"/>
      </rPr>
      <t>Only a partial listing of available products is included. No discrimination is intended by the omission of a product.</t>
    </r>
    <r>
      <rPr>
        <sz val="12"/>
        <color theme="1"/>
        <rFont val="Calibri"/>
        <family val="2"/>
        <scheme val="minor"/>
      </rPr>
      <t xml:space="preserve"> This spreadsheet is intended to serve only as a guide for determining herbicide cost per acre and is not an indicator of product effectiveness or appropriate use. Always read and follow label directions.</t>
    </r>
  </si>
  <si>
    <t xml:space="preserve">Most herbicide and insecticide labels can be found on the Crop Data Management Systems (CDMS) website, https://www.cdms.net/. Navigate to the product databases section to conduct a search for the product label.  </t>
  </si>
  <si>
    <t>Sheet 1, Directions</t>
  </si>
  <si>
    <t>This sheet contains directions on how to use the various spreadsheets. These directions can also be found in a PDF publication titled “Herbicide and Insecticide Cost per Acre Spreadsheet for Pastures and Hayfields.” The publication can be found at https://agrilifelearn.tamu.edu by typing the publication title in the search bar.</t>
  </si>
  <si>
    <t>Sheet 2, Herbicide Cost Per Acre</t>
  </si>
  <si>
    <t>This spreadsheet is designed to aid in estimating herbicide cost per acre at various label rates. In addition, it calculates pounds of active ingredients applied per acre at the corresponding application rate.</t>
  </si>
  <si>
    <t>Sheet 2, Column A: This column contains the product name. Products highlighted in the same color have a common active ingredient. Products are generally arranged alphabetically by active ingredient, and products often used to target grassy weeds can be found toward the bottom of the list.</t>
  </si>
  <si>
    <t>Sheet 2, Column B: This column contains the percent of active ingredient(s) for each herbicide.</t>
  </si>
  <si>
    <t>Sheet 2, Column C: This column contains the amount (e.g., lbs/unit) of active ingredient equivalents for each herbicide. Pounds of active ingredient equivalents should be used when comparing the amount of herbicide in various products.</t>
  </si>
  <si>
    <t>Sheet 2, Column D: This column contains the group number that represents the site of action of the active ingredient based on a system developed by the Weed Science Society of America.</t>
  </si>
  <si>
    <t>Sheet 2, Column E: This column contains the name for the mode of action the herbicide uses to control the weed.</t>
  </si>
  <si>
    <t>Sheet 2, Column F: This column indicates the volumetric unit on which prices are entered for each product. Prices for liquid products are entered per gallon, and prices for dry products are entered in ounces.</t>
  </si>
  <si>
    <r>
      <t xml:space="preserve">Sheet 2, Column G: </t>
    </r>
    <r>
      <rPr>
        <sz val="12"/>
        <color rgb="FF000000"/>
        <rFont val="Calibri"/>
        <family val="2"/>
        <scheme val="minor"/>
      </rPr>
      <t xml:space="preserve">This is the only column in which data should be entered, and as a reminder, it is the only column with blue text. </t>
    </r>
    <r>
      <rPr>
        <sz val="12"/>
        <color rgb="FF262EFF"/>
        <rFont val="Calibri"/>
        <family val="2"/>
        <scheme val="minor"/>
      </rPr>
      <t xml:space="preserve">Enter the appropriate unit price for each product. </t>
    </r>
    <r>
      <rPr>
        <sz val="12"/>
        <color theme="1"/>
        <rFont val="Calibri"/>
        <family val="2"/>
        <scheme val="minor"/>
      </rPr>
      <t>Sometimes, prices will be quoted to you as price per gallon or price per ounce, and you can enter that value directly in column G. At other times, the price may be quoted per container, and you will need to calculate the price for the appropriate pricing unit (for example: if a 2.5-gallon jug of herbicide costs $86, then the price per gallon would be $34.40 [i.e., $86/2.5 gallons = $34.40 per gallon], so you would enter $34.40 in column G).</t>
    </r>
  </si>
  <si>
    <t>Sheet 2, Column H: This column lists several of the labeled application rates for each herbicide.</t>
  </si>
  <si>
    <t>Sheet 2, Column I: This column shows the herbicide cost per acre for the corresponding application rate.</t>
  </si>
  <si>
    <t>Sheet 2, Columns J and K: These columns show one of the active ingredients in the product and the pounds of active ingredient applied per acre at the application rates listed in column H.</t>
  </si>
  <si>
    <t>Sheet 2, Columns L and M: These columns show one of the active ingredients in the product and the pounds of active ingredient applied per acre at the application rates listed in column H.</t>
  </si>
  <si>
    <t>Sheet 3, Insecticide Cost Per Acre</t>
  </si>
  <si>
    <t>This spreadsheet is designed to aid in estimating insecticide cost per acre at various label rates. In addition, it calculates pounds of active ingredients applied per acre at the corresponding application rate.</t>
  </si>
  <si>
    <t>Sheet 3, Column A: This column contains the product name.</t>
  </si>
  <si>
    <t>Sheet 3, Column B: This column contains the percent of active ingredient(s) for each insecticide.</t>
  </si>
  <si>
    <t>Sheet 3, Column C: This column contains the amount (e.g., lbs/gal) of active ingredient equivalent(s) for each insecticide. Pounds of active ingredient equivalent should be used when comparing the amount of insecticide in various products.</t>
  </si>
  <si>
    <t>Sheet 3, Column D: This column contains the mode of action classification group number for each active ingredient.</t>
  </si>
  <si>
    <t>Sheet 3, Column E: This column contains the chemical family of each active ingredient.</t>
  </si>
  <si>
    <t>Sheet 3, Columns F and G: These columns indicate if the product is labeled for grasshoppers or armyworms. Check labels to determine use for specific growth stages and application rates.</t>
  </si>
  <si>
    <t>Sheet 3, Column H: This column indicates the volumetric unit on which prices are entered for each product.</t>
  </si>
  <si>
    <r>
      <t xml:space="preserve">Sheet 3, Column I:  </t>
    </r>
    <r>
      <rPr>
        <sz val="12"/>
        <color rgb="FF000000"/>
        <rFont val="Calibri"/>
        <family val="2"/>
        <scheme val="minor"/>
      </rPr>
      <t xml:space="preserve">This is the only column in which data should be entered, and as a reminder, it is the only column with blue text. </t>
    </r>
    <r>
      <rPr>
        <sz val="12"/>
        <color rgb="FF262EFF"/>
        <rFont val="Calibri"/>
        <family val="2"/>
        <scheme val="minor"/>
      </rPr>
      <t xml:space="preserve">Enter the appropriate unit price for each product. </t>
    </r>
  </si>
  <si>
    <t>Sheet 3, Column J: This column lists several of the labeled application rates for each insecticide.</t>
  </si>
  <si>
    <t>Sheet 3, Column K: This column shows the insecticide cost per acre for the corresponding application rate.</t>
  </si>
  <si>
    <t>Sheet 3, Columns L and M: These columns show one of the active ingredients in the product and the pounds of active ingredient applied per acre at the application rates listed in column J.</t>
  </si>
  <si>
    <t>Sheet 3, Columns N and O: These columns show one of the active ingredients in the product and the pounds of active ingredient applied per acre at the application rates listed in column J.</t>
  </si>
  <si>
    <t>Sheet 4, Adjuvant (Surfactant)</t>
  </si>
  <si>
    <r>
      <t>This spreadsheet is designed to aid in calculating the cost of using various spray adjuvants (primarily surfactants) depending on the application rate per 100 gallons of water and spray water volume. Since there are so many products available, this spreadsheet does not list specific products but instead allows the user to custom-enter the products they are interested in. Always read and follow label directions.</t>
    </r>
    <r>
      <rPr>
        <sz val="12"/>
        <color rgb="FF262EFF"/>
        <rFont val="Calibri"/>
        <family val="2"/>
        <scheme val="minor"/>
      </rPr>
      <t xml:space="preserve"> Cells with blue font can be changed.</t>
    </r>
    <r>
      <rPr>
        <sz val="12"/>
        <color theme="1"/>
        <rFont val="Calibri"/>
        <family val="2"/>
        <scheme val="minor"/>
      </rPr>
      <t xml:space="preserve"> All other cells are locked.</t>
    </r>
  </si>
  <si>
    <r>
      <t xml:space="preserve">Sheet 4, Column A: </t>
    </r>
    <r>
      <rPr>
        <sz val="12"/>
        <color rgb="FF262EFF"/>
        <rFont val="Calibri"/>
        <family val="2"/>
        <scheme val="minor"/>
      </rPr>
      <t>Enter the name or description of the product of interest</t>
    </r>
    <r>
      <rPr>
        <sz val="12"/>
        <color theme="1"/>
        <rFont val="Calibri"/>
        <family val="2"/>
        <scheme val="minor"/>
      </rPr>
      <t>.</t>
    </r>
  </si>
  <si>
    <r>
      <t xml:space="preserve">Sheet 4, Column B: </t>
    </r>
    <r>
      <rPr>
        <sz val="12"/>
        <color rgb="FF262EFF"/>
        <rFont val="Calibri"/>
        <family val="2"/>
        <scheme val="minor"/>
      </rPr>
      <t>Enter the spray volume that will be applied per acre</t>
    </r>
    <r>
      <rPr>
        <sz val="12"/>
        <color theme="1"/>
        <rFont val="Calibri"/>
        <family val="2"/>
        <scheme val="minor"/>
      </rPr>
      <t>. The spray volume is just how much liquid (water, herbicides, insecticides, etc.) comes out of the sprayer.</t>
    </r>
  </si>
  <si>
    <r>
      <t xml:space="preserve">Sheet 4, Column C: </t>
    </r>
    <r>
      <rPr>
        <sz val="12"/>
        <color rgb="FF262EFF"/>
        <rFont val="Calibri"/>
        <family val="2"/>
        <scheme val="minor"/>
      </rPr>
      <t>Enter the price per gallon for each product of interest</t>
    </r>
    <r>
      <rPr>
        <sz val="12"/>
        <color theme="1"/>
        <rFont val="Calibri"/>
        <family val="2"/>
        <scheme val="minor"/>
      </rPr>
      <t>. Sometimes, prices will be quoted to you as price per gallon. At other times, the price may be quoted per container, and you will need to calculate the price per gallon (for example: if a 2.5-gallon jug of surfactant costs $42.50, then the price per gallon would be $17.00 [i.e., $42.50/2.5 gallons = $17.00 per gallon], so you would enter $17.00 in column C).</t>
    </r>
  </si>
  <si>
    <r>
      <t xml:space="preserve">Sheet 4, Column D: According to the product label, </t>
    </r>
    <r>
      <rPr>
        <sz val="12"/>
        <color rgb="FF262EFF"/>
        <rFont val="Calibri"/>
        <family val="2"/>
        <scheme val="minor"/>
      </rPr>
      <t>enter the application rate per 100 gallons of water.</t>
    </r>
    <r>
      <rPr>
        <sz val="12"/>
        <color theme="1"/>
        <rFont val="Calibri"/>
        <family val="2"/>
        <scheme val="minor"/>
      </rPr>
      <t xml:space="preserve"> Rates may vary by product, so this column allows the user to enter specific rates in pints per 100 gallons of water for each product.</t>
    </r>
  </si>
  <si>
    <t>Sheet 4, Column E: This column shows the adjuvant cost per 100 gallons of water for the corresponding application rate in column D.</t>
  </si>
  <si>
    <t>Sheet 4, Column F: This column shows the adjuvant cost in $/acre for the spray volume in column B and the corresponding application rate in column D.</t>
  </si>
  <si>
    <r>
      <t xml:space="preserve">Sheet 4, Column G: This column provides a place for the user to list any information of interest or notes about the product. It is recommended that the label rate(s) be included here as a reminder of the appropriate values to list in column D. </t>
    </r>
    <r>
      <rPr>
        <sz val="12"/>
        <color rgb="FF262EFF"/>
        <rFont val="Calibri"/>
        <family val="2"/>
        <scheme val="minor"/>
      </rPr>
      <t>Information can be entered in all cells in this column.</t>
    </r>
  </si>
  <si>
    <t>Sheet 5, Acres Covered per Hour</t>
  </si>
  <si>
    <t>This spreadsheet just serves as a resource to determine acres covered per hour at various spray widths and spraying speeds.</t>
  </si>
  <si>
    <t>Sheet 6, Publications</t>
  </si>
  <si>
    <t xml:space="preserve">This sheet contains a copy of some factsheets that may be helpful when using herbicides and insecticides. Use the zoom feature in the lower right-hand corner of the Excel window to increase or decrease the desired viewing size.  </t>
  </si>
  <si>
    <t>Associate Professor and Extension Beef Cattle Specialist; Professor and Extension Forage Specialist</t>
  </si>
  <si>
    <t>ANSC-PU-430</t>
  </si>
  <si>
    <t>Gunslinger® P+D</t>
  </si>
  <si>
    <t>2,4-D choline is considered less volatile than other forms of 2,4-D.</t>
  </si>
  <si>
    <t>(other products available)</t>
  </si>
  <si>
    <t>GrazonPD3™</t>
  </si>
  <si>
    <t>Shenzi™  400SC</t>
  </si>
  <si>
    <r>
      <t xml:space="preserve">chlorantraniliprole: </t>
    </r>
    <r>
      <rPr>
        <sz val="12"/>
        <color rgb="FF008000"/>
        <rFont val="Arial"/>
        <family val="2"/>
      </rPr>
      <t>34.2%</t>
    </r>
  </si>
  <si>
    <r>
      <t xml:space="preserve">chlorantraniliprole: </t>
    </r>
    <r>
      <rPr>
        <sz val="12"/>
        <color rgb="FF008000"/>
        <rFont val="Arial"/>
        <family val="2"/>
      </rPr>
      <t>3.33 lb/gal</t>
    </r>
  </si>
  <si>
    <t>3.8 oz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</si>
</sst>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quot;#,##0.00_);[Red]\(&quot;$&quot;#,##0.00\)"/>
    <numFmt numFmtId="44" formatCode="_(&quot;$&quot;* #,##0.00_);_(&quot;$&quot;* \(#,##0.00\);_(&quot;$&quot;* &quot;-&quot;??_);_(@_)"/>
    <numFmt numFmtId="164" formatCode="&quot;$&quot;#,##0.00"/>
    <numFmt numFmtId="165" formatCode="0.000"/>
    <numFmt numFmtId="166" formatCode="#,##0.0_);\(#,##0.0\)"/>
  </numFmts>
  <fonts count="25"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2"/>
      <color theme="1"/>
      <name val="Calibri"/>
      <family val="2"/>
      <scheme val="minor"/>
    </font>
    <font>
      <b/>
      <sz val="12"/>
      <color theme="1"/>
      <name val="Arial"/>
      <family val="2"/>
    </font>
    <font>
      <sz val="12"/>
      <color theme="1"/>
      <name val="Arial"/>
      <family val="2"/>
    </font>
    <font>
      <sz val="12"/>
      <color rgb="FF008000"/>
      <name val="Arial"/>
      <family val="2"/>
    </font>
    <font>
      <sz val="12"/>
      <color rgb="FF0000FF"/>
      <name val="Arial"/>
      <family val="2"/>
    </font>
    <font>
      <sz val="12"/>
      <color rgb="FF000000"/>
      <name val="Arial"/>
      <family val="2"/>
    </font>
    <font>
      <sz val="12"/>
      <color rgb="FFFF0000"/>
      <name val="Arial"/>
      <family val="2"/>
    </font>
    <font>
      <sz val="12"/>
      <color rgb="FF00B050"/>
      <name val="Arial"/>
      <family val="2"/>
    </font>
    <font>
      <b/>
      <sz val="14"/>
      <color theme="1"/>
      <name val="Arial"/>
      <family val="2"/>
    </font>
    <font>
      <sz val="14"/>
      <color theme="1"/>
      <name val="Arial"/>
      <family val="2"/>
    </font>
    <font>
      <vertAlign val="subscript"/>
      <sz val="12"/>
      <color theme="1"/>
      <name val="Arial"/>
      <family val="2"/>
    </font>
    <font>
      <vertAlign val="superscript"/>
      <sz val="12"/>
      <color theme="1"/>
      <name val="Arial"/>
      <family val="2"/>
    </font>
    <font>
      <b/>
      <u/>
      <sz val="12"/>
      <color theme="1"/>
      <name val="Arial"/>
      <family val="2"/>
    </font>
    <font>
      <sz val="12"/>
      <color rgb="FF00B050"/>
      <name val="Calibri (Body)"/>
    </font>
    <font>
      <sz val="12"/>
      <color rgb="FF000000"/>
      <name val="Arial"/>
      <family val="34"/>
    </font>
    <font>
      <b/>
      <sz val="12"/>
      <color theme="1"/>
      <name val="Calibri"/>
      <family val="2"/>
      <scheme val="minor"/>
    </font>
    <font>
      <b/>
      <sz val="14"/>
      <color theme="1"/>
      <name val="Calibri"/>
      <family val="2"/>
      <scheme val="minor"/>
    </font>
    <font>
      <u/>
      <sz val="12"/>
      <color theme="1"/>
      <name val="Calibri"/>
      <family val="2"/>
      <scheme val="minor"/>
    </font>
    <font>
      <sz val="12"/>
      <color rgb="FF262EFF"/>
      <name val="Calibri"/>
      <family val="2"/>
      <scheme val="minor"/>
    </font>
    <font>
      <b/>
      <u/>
      <sz val="12"/>
      <color theme="1"/>
      <name val="Calibri"/>
      <family val="2"/>
      <scheme val="minor"/>
    </font>
    <font>
      <sz val="12"/>
      <color rgb="FF000000"/>
      <name val="Calibri"/>
      <family val="2"/>
      <scheme val="minor"/>
    </font>
  </fonts>
  <fills count="7">
    <fill>
      <patternFill patternType="none"/>
    </fill>
    <fill>
      <patternFill patternType="gray125"/>
    </fill>
    <fill>
      <patternFill patternType="solid">
        <fgColor theme="8"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0"/>
        <bgColor indexed="64"/>
      </patternFill>
    </fill>
  </fills>
  <borders count="7">
    <border>
      <left/>
      <right/>
      <top/>
      <bottom/>
      <diagonal/>
    </border>
    <border>
      <left/>
      <right/>
      <top/>
      <bottom style="thin">
        <color theme="0" tint="-0.249977111117893"/>
      </bottom>
      <diagonal/>
    </border>
    <border>
      <left/>
      <right/>
      <top/>
      <bottom style="medium">
        <color theme="1"/>
      </bottom>
      <diagonal/>
    </border>
    <border>
      <left/>
      <right/>
      <top/>
      <bottom style="medium">
        <color theme="0" tint="-0.499984740745262"/>
      </bottom>
      <diagonal/>
    </border>
    <border>
      <left/>
      <right style="medium">
        <color theme="0" tint="-0.499984740745262"/>
      </right>
      <top style="medium">
        <color theme="0" tint="-0.499984740745262"/>
      </top>
      <bottom/>
      <diagonal/>
    </border>
    <border>
      <left/>
      <right style="medium">
        <color theme="0" tint="-0.499984740745262"/>
      </right>
      <top/>
      <bottom/>
      <diagonal/>
    </border>
    <border>
      <left/>
      <right style="medium">
        <color theme="0" tint="-0.499984740745262"/>
      </right>
      <top/>
      <bottom style="medium">
        <color theme="0" tint="-0.499984740745262"/>
      </bottom>
      <diagonal/>
    </border>
  </borders>
  <cellStyleXfs count="45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44" fontId="4" fillId="0" borderId="0" applyFont="0" applyFill="0" applyBorder="0" applyAlignment="0" applyProtection="0"/>
    <xf numFmtId="0" fontId="1" fillId="0" borderId="0" applyNumberFormat="0" applyFill="0" applyBorder="0" applyAlignment="0" applyProtection="0"/>
  </cellStyleXfs>
  <cellXfs count="112">
    <xf numFmtId="0" fontId="0" fillId="0" borderId="0" xfId="0"/>
    <xf numFmtId="0" fontId="0" fillId="6" borderId="0" xfId="0" applyFill="1"/>
    <xf numFmtId="0" fontId="6" fillId="2" borderId="0" xfId="0" applyFont="1" applyFill="1" applyAlignment="1">
      <alignment horizontal="center"/>
    </xf>
    <xf numFmtId="164" fontId="8" fillId="2" borderId="0" xfId="0" applyNumberFormat="1" applyFont="1" applyFill="1" applyAlignment="1" applyProtection="1">
      <alignment horizontal="center"/>
      <protection locked="0"/>
    </xf>
    <xf numFmtId="165" fontId="6" fillId="2" borderId="0" xfId="0" applyNumberFormat="1" applyFont="1" applyFill="1" applyAlignment="1">
      <alignment horizontal="center"/>
    </xf>
    <xf numFmtId="0" fontId="6" fillId="6" borderId="0" xfId="0" applyFont="1" applyFill="1" applyAlignment="1">
      <alignment horizontal="center"/>
    </xf>
    <xf numFmtId="164" fontId="8" fillId="2" borderId="0" xfId="0" applyNumberFormat="1" applyFont="1" applyFill="1" applyAlignment="1">
      <alignment horizontal="center"/>
    </xf>
    <xf numFmtId="165" fontId="6" fillId="6" borderId="0" xfId="0" applyNumberFormat="1" applyFont="1" applyFill="1" applyAlignment="1">
      <alignment horizontal="center"/>
    </xf>
    <xf numFmtId="0" fontId="6" fillId="3" borderId="0" xfId="0" applyFont="1" applyFill="1" applyAlignment="1">
      <alignment horizontal="center"/>
    </xf>
    <xf numFmtId="165" fontId="6" fillId="3" borderId="0" xfId="0" applyNumberFormat="1" applyFont="1" applyFill="1" applyAlignment="1">
      <alignment horizontal="center"/>
    </xf>
    <xf numFmtId="0" fontId="6" fillId="4" borderId="0" xfId="0" applyFont="1" applyFill="1" applyAlignment="1">
      <alignment horizontal="center"/>
    </xf>
    <xf numFmtId="165" fontId="6" fillId="4" borderId="0" xfId="0" applyNumberFormat="1" applyFont="1" applyFill="1" applyAlignment="1">
      <alignment horizontal="center"/>
    </xf>
    <xf numFmtId="164" fontId="8" fillId="6" borderId="0" xfId="0" applyNumberFormat="1" applyFont="1" applyFill="1" applyAlignment="1" applyProtection="1">
      <alignment horizontal="center"/>
      <protection locked="0"/>
    </xf>
    <xf numFmtId="0" fontId="6" fillId="5" borderId="0" xfId="0" applyFont="1" applyFill="1" applyAlignment="1">
      <alignment horizontal="center"/>
    </xf>
    <xf numFmtId="2" fontId="6" fillId="5" borderId="0" xfId="0" applyNumberFormat="1" applyFont="1" applyFill="1" applyAlignment="1">
      <alignment horizontal="center"/>
    </xf>
    <xf numFmtId="165" fontId="6" fillId="5" borderId="0" xfId="0" applyNumberFormat="1" applyFont="1" applyFill="1" applyAlignment="1">
      <alignment horizontal="center"/>
    </xf>
    <xf numFmtId="0" fontId="5" fillId="6" borderId="0" xfId="0" applyFont="1" applyFill="1" applyAlignment="1">
      <alignment horizontal="center" wrapText="1"/>
    </xf>
    <xf numFmtId="0" fontId="5" fillId="6" borderId="0" xfId="0" applyFont="1" applyFill="1" applyAlignment="1">
      <alignment horizontal="left" wrapText="1"/>
    </xf>
    <xf numFmtId="0" fontId="6" fillId="6" borderId="0" xfId="0" applyFont="1" applyFill="1" applyAlignment="1">
      <alignment horizontal="left"/>
    </xf>
    <xf numFmtId="0" fontId="9" fillId="6" borderId="0" xfId="0" applyFont="1" applyFill="1" applyAlignment="1">
      <alignment horizontal="center"/>
    </xf>
    <xf numFmtId="164" fontId="8" fillId="3" borderId="0" xfId="0" applyNumberFormat="1" applyFont="1" applyFill="1" applyAlignment="1" applyProtection="1">
      <alignment horizontal="center"/>
      <protection locked="0"/>
    </xf>
    <xf numFmtId="0" fontId="9" fillId="3" borderId="0" xfId="0" applyFont="1" applyFill="1" applyAlignment="1">
      <alignment horizontal="center"/>
    </xf>
    <xf numFmtId="164" fontId="8" fillId="4" borderId="0" xfId="0" applyNumberFormat="1" applyFont="1" applyFill="1" applyAlignment="1" applyProtection="1">
      <alignment horizontal="center"/>
      <protection locked="0"/>
    </xf>
    <xf numFmtId="164" fontId="8" fillId="5" borderId="0" xfId="0" applyNumberFormat="1" applyFont="1" applyFill="1" applyAlignment="1" applyProtection="1">
      <alignment horizontal="center"/>
      <protection locked="0"/>
    </xf>
    <xf numFmtId="0" fontId="10" fillId="6" borderId="0" xfId="0" applyFont="1" applyFill="1" applyAlignment="1">
      <alignment horizontal="center"/>
    </xf>
    <xf numFmtId="0" fontId="5" fillId="6" borderId="3" xfId="0" applyFont="1" applyFill="1" applyBorder="1" applyAlignment="1">
      <alignment horizontal="center" wrapText="1"/>
    </xf>
    <xf numFmtId="0" fontId="6" fillId="2" borderId="3" xfId="0" applyFont="1" applyFill="1" applyBorder="1" applyAlignment="1">
      <alignment horizontal="center"/>
    </xf>
    <xf numFmtId="164" fontId="8" fillId="2" borderId="3" xfId="0" applyNumberFormat="1" applyFont="1" applyFill="1" applyBorder="1" applyAlignment="1">
      <alignment horizontal="center"/>
    </xf>
    <xf numFmtId="165" fontId="6" fillId="2" borderId="3" xfId="0" applyNumberFormat="1" applyFont="1" applyFill="1" applyBorder="1" applyAlignment="1">
      <alignment horizontal="center"/>
    </xf>
    <xf numFmtId="0" fontId="6" fillId="6" borderId="3" xfId="0" applyFont="1" applyFill="1" applyBorder="1" applyAlignment="1">
      <alignment horizontal="center"/>
    </xf>
    <xf numFmtId="165" fontId="6" fillId="6" borderId="3" xfId="0" applyNumberFormat="1" applyFont="1" applyFill="1" applyBorder="1" applyAlignment="1">
      <alignment horizontal="center"/>
    </xf>
    <xf numFmtId="0" fontId="6" fillId="3" borderId="3" xfId="0" applyFont="1" applyFill="1" applyBorder="1" applyAlignment="1">
      <alignment horizontal="center"/>
    </xf>
    <xf numFmtId="165" fontId="6" fillId="3" borderId="3" xfId="0" applyNumberFormat="1" applyFont="1" applyFill="1" applyBorder="1" applyAlignment="1">
      <alignment horizontal="center"/>
    </xf>
    <xf numFmtId="0" fontId="6" fillId="4" borderId="3" xfId="0" applyFont="1" applyFill="1" applyBorder="1" applyAlignment="1">
      <alignment horizontal="center"/>
    </xf>
    <xf numFmtId="165" fontId="6" fillId="4" borderId="3" xfId="0" applyNumberFormat="1" applyFont="1" applyFill="1" applyBorder="1" applyAlignment="1">
      <alignment horizontal="center"/>
    </xf>
    <xf numFmtId="0" fontId="12" fillId="6" borderId="3" xfId="0" applyFont="1" applyFill="1" applyBorder="1" applyAlignment="1">
      <alignment horizontal="left"/>
    </xf>
    <xf numFmtId="0" fontId="13" fillId="6" borderId="3" xfId="0" applyFont="1" applyFill="1" applyBorder="1" applyAlignment="1">
      <alignment horizontal="center"/>
    </xf>
    <xf numFmtId="0" fontId="6" fillId="5" borderId="3" xfId="0" applyFont="1" applyFill="1" applyBorder="1" applyAlignment="1">
      <alignment horizontal="center"/>
    </xf>
    <xf numFmtId="2" fontId="6" fillId="5" borderId="3" xfId="0" applyNumberFormat="1" applyFont="1" applyFill="1" applyBorder="1" applyAlignment="1">
      <alignment horizontal="center"/>
    </xf>
    <xf numFmtId="165" fontId="6" fillId="5" borderId="3" xfId="0" applyNumberFormat="1" applyFont="1" applyFill="1" applyBorder="1" applyAlignment="1">
      <alignment horizontal="center"/>
    </xf>
    <xf numFmtId="0" fontId="10" fillId="6" borderId="3" xfId="0" applyFont="1" applyFill="1" applyBorder="1" applyAlignment="1">
      <alignment horizontal="center"/>
    </xf>
    <xf numFmtId="164" fontId="6" fillId="2" borderId="4" xfId="0" applyNumberFormat="1" applyFont="1" applyFill="1" applyBorder="1" applyAlignment="1">
      <alignment horizontal="center"/>
    </xf>
    <xf numFmtId="164" fontId="6" fillId="2" borderId="5" xfId="0" applyNumberFormat="1" applyFont="1" applyFill="1" applyBorder="1" applyAlignment="1">
      <alignment horizontal="center"/>
    </xf>
    <xf numFmtId="164" fontId="6" fillId="2" borderId="6" xfId="0" applyNumberFormat="1" applyFont="1" applyFill="1" applyBorder="1" applyAlignment="1">
      <alignment horizontal="center"/>
    </xf>
    <xf numFmtId="164" fontId="6" fillId="6" borderId="5" xfId="0" applyNumberFormat="1" applyFont="1" applyFill="1" applyBorder="1" applyAlignment="1">
      <alignment horizontal="center"/>
    </xf>
    <xf numFmtId="164" fontId="6" fillId="6" borderId="6" xfId="0" applyNumberFormat="1" applyFont="1" applyFill="1" applyBorder="1" applyAlignment="1">
      <alignment horizontal="center"/>
    </xf>
    <xf numFmtId="164" fontId="6" fillId="3" borderId="5" xfId="0" applyNumberFormat="1" applyFont="1" applyFill="1" applyBorder="1" applyAlignment="1">
      <alignment horizontal="center"/>
    </xf>
    <xf numFmtId="164" fontId="6" fillId="3" borderId="6" xfId="0" applyNumberFormat="1" applyFont="1" applyFill="1" applyBorder="1" applyAlignment="1">
      <alignment horizontal="center"/>
    </xf>
    <xf numFmtId="164" fontId="6" fillId="4" borderId="5" xfId="0" applyNumberFormat="1" applyFont="1" applyFill="1" applyBorder="1" applyAlignment="1">
      <alignment horizontal="center"/>
    </xf>
    <xf numFmtId="164" fontId="6" fillId="4" borderId="6" xfId="0" applyNumberFormat="1" applyFont="1" applyFill="1" applyBorder="1" applyAlignment="1">
      <alignment horizontal="center"/>
    </xf>
    <xf numFmtId="164" fontId="6" fillId="6" borderId="4" xfId="0" applyNumberFormat="1" applyFont="1" applyFill="1" applyBorder="1" applyAlignment="1">
      <alignment horizontal="center"/>
    </xf>
    <xf numFmtId="164" fontId="6" fillId="5" borderId="5" xfId="0" applyNumberFormat="1" applyFont="1" applyFill="1" applyBorder="1" applyAlignment="1">
      <alignment horizontal="center"/>
    </xf>
    <xf numFmtId="164" fontId="6" fillId="5" borderId="6" xfId="0" applyNumberFormat="1" applyFont="1" applyFill="1" applyBorder="1" applyAlignment="1">
      <alignment horizontal="center"/>
    </xf>
    <xf numFmtId="165" fontId="6" fillId="2" borderId="4" xfId="0" applyNumberFormat="1" applyFont="1" applyFill="1" applyBorder="1" applyAlignment="1">
      <alignment horizontal="center"/>
    </xf>
    <xf numFmtId="0" fontId="6" fillId="2" borderId="5" xfId="0" applyFont="1" applyFill="1" applyBorder="1" applyAlignment="1">
      <alignment horizontal="center"/>
    </xf>
    <xf numFmtId="0" fontId="6" fillId="2" borderId="6" xfId="0" applyFont="1" applyFill="1" applyBorder="1" applyAlignment="1">
      <alignment horizontal="center"/>
    </xf>
    <xf numFmtId="165" fontId="6" fillId="2" borderId="5" xfId="0" applyNumberFormat="1" applyFont="1" applyFill="1" applyBorder="1" applyAlignment="1">
      <alignment horizontal="center"/>
    </xf>
    <xf numFmtId="165" fontId="6" fillId="2" borderId="6" xfId="0" applyNumberFormat="1" applyFont="1" applyFill="1" applyBorder="1" applyAlignment="1">
      <alignment horizontal="center"/>
    </xf>
    <xf numFmtId="165" fontId="6" fillId="6" borderId="5" xfId="0" applyNumberFormat="1" applyFont="1" applyFill="1" applyBorder="1" applyAlignment="1">
      <alignment horizontal="center"/>
    </xf>
    <xf numFmtId="165" fontId="6" fillId="6" borderId="6" xfId="0" applyNumberFormat="1" applyFont="1" applyFill="1" applyBorder="1" applyAlignment="1">
      <alignment horizontal="center"/>
    </xf>
    <xf numFmtId="165" fontId="6" fillId="3" borderId="5" xfId="0" applyNumberFormat="1" applyFont="1" applyFill="1" applyBorder="1" applyAlignment="1">
      <alignment horizontal="center"/>
    </xf>
    <xf numFmtId="165" fontId="6" fillId="3" borderId="6" xfId="0" applyNumberFormat="1" applyFont="1" applyFill="1" applyBorder="1" applyAlignment="1">
      <alignment horizontal="center"/>
    </xf>
    <xf numFmtId="165" fontId="6" fillId="4" borderId="5" xfId="0" applyNumberFormat="1" applyFont="1" applyFill="1" applyBorder="1" applyAlignment="1">
      <alignment horizontal="center"/>
    </xf>
    <xf numFmtId="165" fontId="6" fillId="4" borderId="6" xfId="0" applyNumberFormat="1" applyFont="1" applyFill="1" applyBorder="1" applyAlignment="1">
      <alignment horizontal="center"/>
    </xf>
    <xf numFmtId="0" fontId="6" fillId="6" borderId="5" xfId="0" applyFont="1" applyFill="1" applyBorder="1" applyAlignment="1">
      <alignment horizontal="center"/>
    </xf>
    <xf numFmtId="0" fontId="6" fillId="6" borderId="6" xfId="0" applyFont="1" applyFill="1" applyBorder="1" applyAlignment="1">
      <alignment horizontal="center"/>
    </xf>
    <xf numFmtId="165" fontId="6" fillId="6" borderId="4" xfId="0" applyNumberFormat="1" applyFont="1" applyFill="1" applyBorder="1" applyAlignment="1">
      <alignment horizontal="center"/>
    </xf>
    <xf numFmtId="165" fontId="6" fillId="5" borderId="5" xfId="0" applyNumberFormat="1" applyFont="1" applyFill="1" applyBorder="1" applyAlignment="1">
      <alignment horizontal="center"/>
    </xf>
    <xf numFmtId="165" fontId="6" fillId="5" borderId="6" xfId="0" applyNumberFormat="1" applyFont="1" applyFill="1" applyBorder="1" applyAlignment="1">
      <alignment horizontal="center"/>
    </xf>
    <xf numFmtId="0" fontId="6" fillId="6" borderId="0" xfId="0" applyFont="1" applyFill="1"/>
    <xf numFmtId="0" fontId="5" fillId="6" borderId="1" xfId="0" applyFont="1" applyFill="1" applyBorder="1" applyAlignment="1">
      <alignment horizontal="center"/>
    </xf>
    <xf numFmtId="0" fontId="5" fillId="6" borderId="0" xfId="0" applyFont="1" applyFill="1" applyAlignment="1">
      <alignment horizontal="center"/>
    </xf>
    <xf numFmtId="2" fontId="6" fillId="6" borderId="0" xfId="0" applyNumberFormat="1" applyFont="1" applyFill="1" applyAlignment="1">
      <alignment horizontal="center"/>
    </xf>
    <xf numFmtId="0" fontId="6" fillId="6" borderId="1" xfId="0" applyFont="1" applyFill="1" applyBorder="1" applyAlignment="1">
      <alignment horizontal="center"/>
    </xf>
    <xf numFmtId="2" fontId="6" fillId="6" borderId="1" xfId="0" applyNumberFormat="1" applyFont="1" applyFill="1" applyBorder="1" applyAlignment="1">
      <alignment horizontal="center"/>
    </xf>
    <xf numFmtId="2" fontId="6" fillId="6" borderId="3" xfId="0" applyNumberFormat="1" applyFont="1" applyFill="1" applyBorder="1" applyAlignment="1">
      <alignment horizontal="center"/>
    </xf>
    <xf numFmtId="164" fontId="8" fillId="3" borderId="0" xfId="0" applyNumberFormat="1" applyFont="1" applyFill="1" applyAlignment="1">
      <alignment horizontal="center"/>
    </xf>
    <xf numFmtId="164" fontId="8" fillId="3" borderId="3" xfId="0" applyNumberFormat="1" applyFont="1" applyFill="1" applyBorder="1" applyAlignment="1">
      <alignment horizontal="center"/>
    </xf>
    <xf numFmtId="8" fontId="8" fillId="3" borderId="0" xfId="0" applyNumberFormat="1" applyFont="1" applyFill="1" applyAlignment="1" applyProtection="1">
      <alignment horizontal="center"/>
      <protection locked="0"/>
    </xf>
    <xf numFmtId="0" fontId="6" fillId="3" borderId="0" xfId="0" applyFont="1" applyFill="1" applyAlignment="1">
      <alignment horizontal="center" vertical="top" wrapText="1"/>
    </xf>
    <xf numFmtId="0" fontId="6" fillId="3" borderId="3" xfId="0" applyFont="1" applyFill="1" applyBorder="1" applyAlignment="1">
      <alignment horizontal="center" vertical="top" wrapText="1"/>
    </xf>
    <xf numFmtId="2" fontId="6" fillId="6" borderId="4" xfId="0" applyNumberFormat="1" applyFont="1" applyFill="1" applyBorder="1" applyAlignment="1">
      <alignment horizontal="center"/>
    </xf>
    <xf numFmtId="2" fontId="6" fillId="6" borderId="5" xfId="0" applyNumberFormat="1" applyFont="1" applyFill="1" applyBorder="1" applyAlignment="1">
      <alignment horizontal="center"/>
    </xf>
    <xf numFmtId="2" fontId="6" fillId="6" borderId="6" xfId="0" applyNumberFormat="1" applyFont="1" applyFill="1" applyBorder="1" applyAlignment="1">
      <alignment horizontal="center"/>
    </xf>
    <xf numFmtId="0" fontId="5" fillId="6" borderId="0" xfId="0" applyFont="1" applyFill="1" applyAlignment="1">
      <alignment wrapText="1"/>
    </xf>
    <xf numFmtId="0" fontId="8" fillId="6" borderId="0" xfId="0" applyFont="1" applyFill="1" applyAlignment="1" applyProtection="1">
      <alignment horizontal="center"/>
      <protection locked="0"/>
    </xf>
    <xf numFmtId="166" fontId="8" fillId="6" borderId="0" xfId="455" applyNumberFormat="1" applyFont="1" applyFill="1" applyBorder="1" applyAlignment="1" applyProtection="1">
      <alignment horizontal="center"/>
      <protection locked="0"/>
    </xf>
    <xf numFmtId="164" fontId="6" fillId="6" borderId="0" xfId="0" applyNumberFormat="1" applyFont="1" applyFill="1" applyAlignment="1">
      <alignment horizontal="center"/>
    </xf>
    <xf numFmtId="0" fontId="8" fillId="6" borderId="4" xfId="0" applyFont="1" applyFill="1" applyBorder="1" applyAlignment="1" applyProtection="1">
      <alignment horizontal="center"/>
      <protection locked="0"/>
    </xf>
    <xf numFmtId="0" fontId="8" fillId="6" borderId="0" xfId="0" applyFont="1" applyFill="1" applyAlignment="1">
      <alignment horizontal="center"/>
    </xf>
    <xf numFmtId="164" fontId="8" fillId="6" borderId="0" xfId="0" applyNumberFormat="1" applyFont="1" applyFill="1" applyAlignment="1">
      <alignment horizontal="center"/>
    </xf>
    <xf numFmtId="0" fontId="8" fillId="6" borderId="5" xfId="0" applyFont="1" applyFill="1" applyBorder="1" applyAlignment="1" applyProtection="1">
      <alignment horizontal="center"/>
      <protection locked="0"/>
    </xf>
    <xf numFmtId="0" fontId="8" fillId="6" borderId="3" xfId="0" applyFont="1" applyFill="1" applyBorder="1" applyAlignment="1" applyProtection="1">
      <alignment horizontal="center"/>
      <protection locked="0"/>
    </xf>
    <xf numFmtId="164" fontId="6" fillId="6" borderId="3" xfId="0" applyNumberFormat="1" applyFont="1" applyFill="1" applyBorder="1" applyAlignment="1">
      <alignment horizontal="center"/>
    </xf>
    <xf numFmtId="0" fontId="8" fillId="6" borderId="6" xfId="0" applyFont="1" applyFill="1" applyBorder="1" applyAlignment="1" applyProtection="1">
      <alignment horizontal="center"/>
      <protection locked="0"/>
    </xf>
    <xf numFmtId="0" fontId="6" fillId="6" borderId="0" xfId="0" applyFont="1" applyFill="1" applyAlignment="1">
      <alignment vertical="center"/>
    </xf>
    <xf numFmtId="0" fontId="6" fillId="6" borderId="0" xfId="0" applyFont="1" applyFill="1" applyAlignment="1">
      <alignment horizontal="center" vertical="center"/>
    </xf>
    <xf numFmtId="0" fontId="17" fillId="6" borderId="0" xfId="0" applyFont="1" applyFill="1" applyAlignment="1">
      <alignment vertical="center"/>
    </xf>
    <xf numFmtId="0" fontId="0" fillId="6" borderId="0" xfId="0" applyFill="1" applyAlignment="1">
      <alignment vertical="center"/>
    </xf>
    <xf numFmtId="0" fontId="5" fillId="6" borderId="0" xfId="0" applyFont="1" applyFill="1" applyAlignment="1">
      <alignment horizontal="left"/>
    </xf>
    <xf numFmtId="0" fontId="6" fillId="6" borderId="0" xfId="0" applyFont="1" applyFill="1" applyAlignment="1">
      <alignment wrapText="1"/>
    </xf>
    <xf numFmtId="0" fontId="6" fillId="6" borderId="0" xfId="0" applyFont="1" applyFill="1" applyAlignment="1">
      <alignment vertical="center" wrapText="1"/>
    </xf>
    <xf numFmtId="0" fontId="0" fillId="6" borderId="0" xfId="0" applyFill="1" applyAlignment="1">
      <alignment vertical="center" wrapText="1"/>
    </xf>
    <xf numFmtId="0" fontId="21" fillId="6" borderId="0" xfId="0" applyFont="1" applyFill="1" applyAlignment="1">
      <alignment vertical="center" wrapText="1"/>
    </xf>
    <xf numFmtId="0" fontId="1" fillId="6" borderId="0" xfId="456" applyFill="1" applyAlignment="1">
      <alignment vertical="center" wrapText="1"/>
    </xf>
    <xf numFmtId="0" fontId="23" fillId="6" borderId="0" xfId="0" applyFont="1" applyFill="1" applyAlignment="1">
      <alignment vertical="center" wrapText="1"/>
    </xf>
    <xf numFmtId="0" fontId="20" fillId="6" borderId="0" xfId="0" applyFont="1" applyFill="1" applyAlignment="1">
      <alignment horizontal="left" vertical="center" wrapText="1"/>
    </xf>
    <xf numFmtId="0" fontId="19" fillId="6" borderId="0" xfId="0" applyFont="1" applyFill="1" applyAlignment="1">
      <alignment horizontal="left" vertical="center" wrapText="1"/>
    </xf>
    <xf numFmtId="0" fontId="0" fillId="6" borderId="0" xfId="0" applyFill="1" applyAlignment="1">
      <alignment horizontal="left" vertical="center" wrapText="1"/>
    </xf>
    <xf numFmtId="0" fontId="6" fillId="6" borderId="0" xfId="0" applyFont="1" applyFill="1" applyAlignment="1">
      <alignment horizontal="left" vertical="center" wrapText="1"/>
    </xf>
    <xf numFmtId="0" fontId="6" fillId="6" borderId="2" xfId="0" applyFont="1" applyFill="1" applyBorder="1" applyAlignment="1">
      <alignment horizontal="center"/>
    </xf>
    <xf numFmtId="0" fontId="5" fillId="6" borderId="0" xfId="0" applyFont="1" applyFill="1" applyAlignment="1">
      <alignment horizontal="center"/>
    </xf>
  </cellXfs>
  <cellStyles count="457">
    <cellStyle name="Currency" xfId="455" builtinId="4"/>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4" builtinId="9" hidden="1"/>
    <cellStyle name="Followed Hyperlink" xfId="176" builtinId="9" hidden="1"/>
    <cellStyle name="Followed Hyperlink" xfId="178" builtinId="9" hidden="1"/>
    <cellStyle name="Followed Hyperlink" xfId="180" builtinId="9" hidden="1"/>
    <cellStyle name="Followed Hyperlink" xfId="182" builtinId="9" hidden="1"/>
    <cellStyle name="Followed Hyperlink" xfId="184" builtinId="9" hidden="1"/>
    <cellStyle name="Followed Hyperlink" xfId="186" builtinId="9" hidden="1"/>
    <cellStyle name="Followed Hyperlink" xfId="188" builtinId="9" hidden="1"/>
    <cellStyle name="Followed Hyperlink" xfId="190" builtinId="9" hidden="1"/>
    <cellStyle name="Followed Hyperlink" xfId="192" builtinId="9" hidden="1"/>
    <cellStyle name="Followed Hyperlink" xfId="194" builtinId="9" hidden="1"/>
    <cellStyle name="Followed Hyperlink" xfId="196" builtinId="9" hidden="1"/>
    <cellStyle name="Followed Hyperlink" xfId="198" builtinId="9" hidden="1"/>
    <cellStyle name="Followed Hyperlink" xfId="200" builtinId="9" hidden="1"/>
    <cellStyle name="Followed Hyperlink" xfId="202" builtinId="9" hidden="1"/>
    <cellStyle name="Followed Hyperlink" xfId="204" builtinId="9" hidden="1"/>
    <cellStyle name="Followed Hyperlink" xfId="206" builtinId="9" hidden="1"/>
    <cellStyle name="Followed Hyperlink" xfId="208" builtinId="9" hidden="1"/>
    <cellStyle name="Followed Hyperlink" xfId="210" builtinId="9" hidden="1"/>
    <cellStyle name="Followed Hyperlink" xfId="212" builtinId="9" hidden="1"/>
    <cellStyle name="Followed Hyperlink" xfId="214" builtinId="9" hidden="1"/>
    <cellStyle name="Followed Hyperlink" xfId="216" builtinId="9" hidden="1"/>
    <cellStyle name="Followed Hyperlink" xfId="218" builtinId="9" hidden="1"/>
    <cellStyle name="Followed Hyperlink" xfId="220" builtinId="9" hidden="1"/>
    <cellStyle name="Followed Hyperlink" xfId="222" builtinId="9" hidden="1"/>
    <cellStyle name="Followed Hyperlink" xfId="224" builtinId="9" hidden="1"/>
    <cellStyle name="Followed Hyperlink" xfId="226" builtinId="9" hidden="1"/>
    <cellStyle name="Followed Hyperlink" xfId="228" builtinId="9" hidden="1"/>
    <cellStyle name="Followed Hyperlink" xfId="230" builtinId="9" hidden="1"/>
    <cellStyle name="Followed Hyperlink" xfId="232" builtinId="9" hidden="1"/>
    <cellStyle name="Followed Hyperlink" xfId="234" builtinId="9" hidden="1"/>
    <cellStyle name="Followed Hyperlink" xfId="236" builtinId="9" hidden="1"/>
    <cellStyle name="Followed Hyperlink" xfId="238" builtinId="9" hidden="1"/>
    <cellStyle name="Followed Hyperlink" xfId="240" builtinId="9" hidden="1"/>
    <cellStyle name="Followed Hyperlink" xfId="242" builtinId="9" hidden="1"/>
    <cellStyle name="Followed Hyperlink" xfId="244" builtinId="9" hidden="1"/>
    <cellStyle name="Followed Hyperlink" xfId="246" builtinId="9" hidden="1"/>
    <cellStyle name="Followed Hyperlink" xfId="248" builtinId="9" hidden="1"/>
    <cellStyle name="Followed Hyperlink" xfId="250" builtinId="9" hidden="1"/>
    <cellStyle name="Followed Hyperlink" xfId="252" builtinId="9" hidden="1"/>
    <cellStyle name="Followed Hyperlink" xfId="254" builtinId="9" hidden="1"/>
    <cellStyle name="Followed Hyperlink" xfId="256" builtinId="9" hidden="1"/>
    <cellStyle name="Followed Hyperlink" xfId="258" builtinId="9" hidden="1"/>
    <cellStyle name="Followed Hyperlink" xfId="260" builtinId="9" hidden="1"/>
    <cellStyle name="Followed Hyperlink" xfId="262" builtinId="9" hidden="1"/>
    <cellStyle name="Followed Hyperlink" xfId="264" builtinId="9" hidden="1"/>
    <cellStyle name="Followed Hyperlink" xfId="266" builtinId="9" hidden="1"/>
    <cellStyle name="Followed Hyperlink" xfId="268" builtinId="9" hidden="1"/>
    <cellStyle name="Followed Hyperlink" xfId="270" builtinId="9" hidden="1"/>
    <cellStyle name="Followed Hyperlink" xfId="272" builtinId="9" hidden="1"/>
    <cellStyle name="Followed Hyperlink" xfId="274" builtinId="9" hidden="1"/>
    <cellStyle name="Followed Hyperlink" xfId="276" builtinId="9" hidden="1"/>
    <cellStyle name="Followed Hyperlink" xfId="278" builtinId="9" hidden="1"/>
    <cellStyle name="Followed Hyperlink" xfId="280" builtinId="9" hidden="1"/>
    <cellStyle name="Followed Hyperlink" xfId="282" builtinId="9" hidden="1"/>
    <cellStyle name="Followed Hyperlink" xfId="284" builtinId="9" hidden="1"/>
    <cellStyle name="Followed Hyperlink" xfId="286" builtinId="9" hidden="1"/>
    <cellStyle name="Followed Hyperlink" xfId="288" builtinId="9" hidden="1"/>
    <cellStyle name="Followed Hyperlink" xfId="290" builtinId="9" hidden="1"/>
    <cellStyle name="Followed Hyperlink" xfId="292" builtinId="9" hidden="1"/>
    <cellStyle name="Followed Hyperlink" xfId="294" builtinId="9" hidden="1"/>
    <cellStyle name="Followed Hyperlink" xfId="296" builtinId="9" hidden="1"/>
    <cellStyle name="Followed Hyperlink" xfId="298" builtinId="9" hidden="1"/>
    <cellStyle name="Followed Hyperlink" xfId="300" builtinId="9" hidden="1"/>
    <cellStyle name="Followed Hyperlink" xfId="302" builtinId="9" hidden="1"/>
    <cellStyle name="Followed Hyperlink" xfId="304" builtinId="9" hidden="1"/>
    <cellStyle name="Followed Hyperlink" xfId="306" builtinId="9" hidden="1"/>
    <cellStyle name="Followed Hyperlink" xfId="308" builtinId="9" hidden="1"/>
    <cellStyle name="Followed Hyperlink" xfId="310" builtinId="9" hidden="1"/>
    <cellStyle name="Followed Hyperlink" xfId="312" builtinId="9" hidden="1"/>
    <cellStyle name="Followed Hyperlink" xfId="314" builtinId="9" hidden="1"/>
    <cellStyle name="Followed Hyperlink" xfId="316" builtinId="9" hidden="1"/>
    <cellStyle name="Followed Hyperlink" xfId="318" builtinId="9" hidden="1"/>
    <cellStyle name="Followed Hyperlink" xfId="320" builtinId="9" hidden="1"/>
    <cellStyle name="Followed Hyperlink" xfId="322" builtinId="9" hidden="1"/>
    <cellStyle name="Followed Hyperlink" xfId="324" builtinId="9" hidden="1"/>
    <cellStyle name="Followed Hyperlink" xfId="326" builtinId="9" hidden="1"/>
    <cellStyle name="Followed Hyperlink" xfId="328" builtinId="9" hidden="1"/>
    <cellStyle name="Followed Hyperlink" xfId="330" builtinId="9" hidden="1"/>
    <cellStyle name="Followed Hyperlink" xfId="332" builtinId="9" hidden="1"/>
    <cellStyle name="Followed Hyperlink" xfId="334" builtinId="9" hidden="1"/>
    <cellStyle name="Followed Hyperlink" xfId="336" builtinId="9" hidden="1"/>
    <cellStyle name="Followed Hyperlink" xfId="338" builtinId="9" hidden="1"/>
    <cellStyle name="Followed Hyperlink" xfId="340" builtinId="9" hidden="1"/>
    <cellStyle name="Followed Hyperlink" xfId="342" builtinId="9" hidden="1"/>
    <cellStyle name="Followed Hyperlink" xfId="344" builtinId="9" hidden="1"/>
    <cellStyle name="Followed Hyperlink" xfId="346" builtinId="9" hidden="1"/>
    <cellStyle name="Followed Hyperlink" xfId="348" builtinId="9" hidden="1"/>
    <cellStyle name="Followed Hyperlink" xfId="350" builtinId="9" hidden="1"/>
    <cellStyle name="Followed Hyperlink" xfId="352" builtinId="9" hidden="1"/>
    <cellStyle name="Followed Hyperlink" xfId="354" builtinId="9" hidden="1"/>
    <cellStyle name="Followed Hyperlink" xfId="356" builtinId="9" hidden="1"/>
    <cellStyle name="Followed Hyperlink" xfId="358" builtinId="9" hidden="1"/>
    <cellStyle name="Followed Hyperlink" xfId="360" builtinId="9" hidden="1"/>
    <cellStyle name="Followed Hyperlink" xfId="362" builtinId="9" hidden="1"/>
    <cellStyle name="Followed Hyperlink" xfId="364" builtinId="9" hidden="1"/>
    <cellStyle name="Followed Hyperlink" xfId="366" builtinId="9" hidden="1"/>
    <cellStyle name="Followed Hyperlink" xfId="368" builtinId="9" hidden="1"/>
    <cellStyle name="Followed Hyperlink" xfId="370" builtinId="9" hidden="1"/>
    <cellStyle name="Followed Hyperlink" xfId="372" builtinId="9" hidden="1"/>
    <cellStyle name="Followed Hyperlink" xfId="374" builtinId="9" hidden="1"/>
    <cellStyle name="Followed Hyperlink" xfId="376" builtinId="9" hidden="1"/>
    <cellStyle name="Followed Hyperlink" xfId="378" builtinId="9" hidden="1"/>
    <cellStyle name="Followed Hyperlink" xfId="380" builtinId="9" hidden="1"/>
    <cellStyle name="Followed Hyperlink" xfId="382" builtinId="9" hidden="1"/>
    <cellStyle name="Followed Hyperlink" xfId="384" builtinId="9" hidden="1"/>
    <cellStyle name="Followed Hyperlink" xfId="386" builtinId="9" hidden="1"/>
    <cellStyle name="Followed Hyperlink" xfId="388" builtinId="9" hidden="1"/>
    <cellStyle name="Followed Hyperlink" xfId="390" builtinId="9" hidden="1"/>
    <cellStyle name="Followed Hyperlink" xfId="392" builtinId="9" hidden="1"/>
    <cellStyle name="Followed Hyperlink" xfId="394" builtinId="9" hidden="1"/>
    <cellStyle name="Followed Hyperlink" xfId="396" builtinId="9" hidden="1"/>
    <cellStyle name="Followed Hyperlink" xfId="398" builtinId="9" hidden="1"/>
    <cellStyle name="Followed Hyperlink" xfId="400" builtinId="9" hidden="1"/>
    <cellStyle name="Followed Hyperlink" xfId="402" builtinId="9" hidden="1"/>
    <cellStyle name="Followed Hyperlink" xfId="404" builtinId="9" hidden="1"/>
    <cellStyle name="Followed Hyperlink" xfId="406" builtinId="9" hidden="1"/>
    <cellStyle name="Followed Hyperlink" xfId="408" builtinId="9" hidden="1"/>
    <cellStyle name="Followed Hyperlink" xfId="410" builtinId="9" hidden="1"/>
    <cellStyle name="Followed Hyperlink" xfId="412" builtinId="9" hidden="1"/>
    <cellStyle name="Followed Hyperlink" xfId="414" builtinId="9" hidden="1"/>
    <cellStyle name="Followed Hyperlink" xfId="416" builtinId="9" hidden="1"/>
    <cellStyle name="Followed Hyperlink" xfId="418" builtinId="9" hidden="1"/>
    <cellStyle name="Followed Hyperlink" xfId="420" builtinId="9" hidden="1"/>
    <cellStyle name="Followed Hyperlink" xfId="422" builtinId="9" hidden="1"/>
    <cellStyle name="Followed Hyperlink" xfId="424" builtinId="9" hidden="1"/>
    <cellStyle name="Followed Hyperlink" xfId="426" builtinId="9" hidden="1"/>
    <cellStyle name="Followed Hyperlink" xfId="428" builtinId="9" hidden="1"/>
    <cellStyle name="Followed Hyperlink" xfId="430" builtinId="9" hidden="1"/>
    <cellStyle name="Followed Hyperlink" xfId="432" builtinId="9" hidden="1"/>
    <cellStyle name="Followed Hyperlink" xfId="434" builtinId="9" hidden="1"/>
    <cellStyle name="Followed Hyperlink" xfId="436" builtinId="9" hidden="1"/>
    <cellStyle name="Followed Hyperlink" xfId="438" builtinId="9" hidden="1"/>
    <cellStyle name="Followed Hyperlink" xfId="440" builtinId="9" hidden="1"/>
    <cellStyle name="Followed Hyperlink" xfId="442" builtinId="9" hidden="1"/>
    <cellStyle name="Followed Hyperlink" xfId="444" builtinId="9" hidden="1"/>
    <cellStyle name="Followed Hyperlink" xfId="446" builtinId="9" hidden="1"/>
    <cellStyle name="Followed Hyperlink" xfId="448" builtinId="9" hidden="1"/>
    <cellStyle name="Followed Hyperlink" xfId="450" builtinId="9" hidden="1"/>
    <cellStyle name="Followed Hyperlink" xfId="452" builtinId="9" hidden="1"/>
    <cellStyle name="Followed Hyperlink" xfId="454"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3" builtinId="8" hidden="1"/>
    <cellStyle name="Hyperlink" xfId="175" builtinId="8" hidden="1"/>
    <cellStyle name="Hyperlink" xfId="177" builtinId="8" hidden="1"/>
    <cellStyle name="Hyperlink" xfId="179" builtinId="8" hidden="1"/>
    <cellStyle name="Hyperlink" xfId="181" builtinId="8" hidden="1"/>
    <cellStyle name="Hyperlink" xfId="183" builtinId="8" hidden="1"/>
    <cellStyle name="Hyperlink" xfId="185" builtinId="8" hidden="1"/>
    <cellStyle name="Hyperlink" xfId="187" builtinId="8" hidden="1"/>
    <cellStyle name="Hyperlink" xfId="189" builtinId="8" hidden="1"/>
    <cellStyle name="Hyperlink" xfId="191" builtinId="8" hidden="1"/>
    <cellStyle name="Hyperlink" xfId="193" builtinId="8" hidden="1"/>
    <cellStyle name="Hyperlink" xfId="195" builtinId="8" hidden="1"/>
    <cellStyle name="Hyperlink" xfId="197" builtinId="8" hidden="1"/>
    <cellStyle name="Hyperlink" xfId="199" builtinId="8" hidden="1"/>
    <cellStyle name="Hyperlink" xfId="201" builtinId="8" hidden="1"/>
    <cellStyle name="Hyperlink" xfId="203" builtinId="8" hidden="1"/>
    <cellStyle name="Hyperlink" xfId="205" builtinId="8" hidden="1"/>
    <cellStyle name="Hyperlink" xfId="207" builtinId="8" hidden="1"/>
    <cellStyle name="Hyperlink" xfId="209" builtinId="8" hidden="1"/>
    <cellStyle name="Hyperlink" xfId="211" builtinId="8" hidden="1"/>
    <cellStyle name="Hyperlink" xfId="213" builtinId="8" hidden="1"/>
    <cellStyle name="Hyperlink" xfId="215" builtinId="8" hidden="1"/>
    <cellStyle name="Hyperlink" xfId="217" builtinId="8" hidden="1"/>
    <cellStyle name="Hyperlink" xfId="219" builtinId="8" hidden="1"/>
    <cellStyle name="Hyperlink" xfId="221" builtinId="8" hidden="1"/>
    <cellStyle name="Hyperlink" xfId="223" builtinId="8" hidden="1"/>
    <cellStyle name="Hyperlink" xfId="225" builtinId="8" hidden="1"/>
    <cellStyle name="Hyperlink" xfId="227" builtinId="8" hidden="1"/>
    <cellStyle name="Hyperlink" xfId="229" builtinId="8" hidden="1"/>
    <cellStyle name="Hyperlink" xfId="231" builtinId="8" hidden="1"/>
    <cellStyle name="Hyperlink" xfId="233" builtinId="8" hidden="1"/>
    <cellStyle name="Hyperlink" xfId="235" builtinId="8" hidden="1"/>
    <cellStyle name="Hyperlink" xfId="237" builtinId="8" hidden="1"/>
    <cellStyle name="Hyperlink" xfId="239" builtinId="8" hidden="1"/>
    <cellStyle name="Hyperlink" xfId="241" builtinId="8" hidden="1"/>
    <cellStyle name="Hyperlink" xfId="243" builtinId="8" hidden="1"/>
    <cellStyle name="Hyperlink" xfId="245" builtinId="8" hidden="1"/>
    <cellStyle name="Hyperlink" xfId="247" builtinId="8" hidden="1"/>
    <cellStyle name="Hyperlink" xfId="249" builtinId="8" hidden="1"/>
    <cellStyle name="Hyperlink" xfId="251" builtinId="8" hidden="1"/>
    <cellStyle name="Hyperlink" xfId="253" builtinId="8" hidden="1"/>
    <cellStyle name="Hyperlink" xfId="255" builtinId="8" hidden="1"/>
    <cellStyle name="Hyperlink" xfId="257" builtinId="8" hidden="1"/>
    <cellStyle name="Hyperlink" xfId="259" builtinId="8" hidden="1"/>
    <cellStyle name="Hyperlink" xfId="261" builtinId="8" hidden="1"/>
    <cellStyle name="Hyperlink" xfId="263" builtinId="8" hidden="1"/>
    <cellStyle name="Hyperlink" xfId="265" builtinId="8" hidden="1"/>
    <cellStyle name="Hyperlink" xfId="267" builtinId="8" hidden="1"/>
    <cellStyle name="Hyperlink" xfId="269" builtinId="8" hidden="1"/>
    <cellStyle name="Hyperlink" xfId="271" builtinId="8" hidden="1"/>
    <cellStyle name="Hyperlink" xfId="273" builtinId="8" hidden="1"/>
    <cellStyle name="Hyperlink" xfId="275" builtinId="8" hidden="1"/>
    <cellStyle name="Hyperlink" xfId="277" builtinId="8" hidden="1"/>
    <cellStyle name="Hyperlink" xfId="279" builtinId="8" hidden="1"/>
    <cellStyle name="Hyperlink" xfId="281" builtinId="8" hidden="1"/>
    <cellStyle name="Hyperlink" xfId="283" builtinId="8" hidden="1"/>
    <cellStyle name="Hyperlink" xfId="285" builtinId="8" hidden="1"/>
    <cellStyle name="Hyperlink" xfId="287" builtinId="8" hidden="1"/>
    <cellStyle name="Hyperlink" xfId="289" builtinId="8" hidden="1"/>
    <cellStyle name="Hyperlink" xfId="291" builtinId="8" hidden="1"/>
    <cellStyle name="Hyperlink" xfId="293" builtinId="8" hidden="1"/>
    <cellStyle name="Hyperlink" xfId="295" builtinId="8" hidden="1"/>
    <cellStyle name="Hyperlink" xfId="297" builtinId="8" hidden="1"/>
    <cellStyle name="Hyperlink" xfId="299" builtinId="8" hidden="1"/>
    <cellStyle name="Hyperlink" xfId="301" builtinId="8" hidden="1"/>
    <cellStyle name="Hyperlink" xfId="303" builtinId="8" hidden="1"/>
    <cellStyle name="Hyperlink" xfId="305" builtinId="8" hidden="1"/>
    <cellStyle name="Hyperlink" xfId="307" builtinId="8" hidden="1"/>
    <cellStyle name="Hyperlink" xfId="309" builtinId="8" hidden="1"/>
    <cellStyle name="Hyperlink" xfId="311" builtinId="8" hidden="1"/>
    <cellStyle name="Hyperlink" xfId="313" builtinId="8" hidden="1"/>
    <cellStyle name="Hyperlink" xfId="315" builtinId="8" hidden="1"/>
    <cellStyle name="Hyperlink" xfId="317" builtinId="8" hidden="1"/>
    <cellStyle name="Hyperlink" xfId="319" builtinId="8" hidden="1"/>
    <cellStyle name="Hyperlink" xfId="321" builtinId="8" hidden="1"/>
    <cellStyle name="Hyperlink" xfId="323" builtinId="8" hidden="1"/>
    <cellStyle name="Hyperlink" xfId="325" builtinId="8" hidden="1"/>
    <cellStyle name="Hyperlink" xfId="327" builtinId="8" hidden="1"/>
    <cellStyle name="Hyperlink" xfId="329" builtinId="8" hidden="1"/>
    <cellStyle name="Hyperlink" xfId="331" builtinId="8" hidden="1"/>
    <cellStyle name="Hyperlink" xfId="333" builtinId="8" hidden="1"/>
    <cellStyle name="Hyperlink" xfId="335" builtinId="8" hidden="1"/>
    <cellStyle name="Hyperlink" xfId="337" builtinId="8" hidden="1"/>
    <cellStyle name="Hyperlink" xfId="339" builtinId="8" hidden="1"/>
    <cellStyle name="Hyperlink" xfId="341" builtinId="8" hidden="1"/>
    <cellStyle name="Hyperlink" xfId="343" builtinId="8" hidden="1"/>
    <cellStyle name="Hyperlink" xfId="345" builtinId="8" hidden="1"/>
    <cellStyle name="Hyperlink" xfId="347" builtinId="8" hidden="1"/>
    <cellStyle name="Hyperlink" xfId="349" builtinId="8" hidden="1"/>
    <cellStyle name="Hyperlink" xfId="351" builtinId="8" hidden="1"/>
    <cellStyle name="Hyperlink" xfId="353" builtinId="8" hidden="1"/>
    <cellStyle name="Hyperlink" xfId="355" builtinId="8" hidden="1"/>
    <cellStyle name="Hyperlink" xfId="357" builtinId="8" hidden="1"/>
    <cellStyle name="Hyperlink" xfId="359" builtinId="8" hidden="1"/>
    <cellStyle name="Hyperlink" xfId="361" builtinId="8" hidden="1"/>
    <cellStyle name="Hyperlink" xfId="363" builtinId="8" hidden="1"/>
    <cellStyle name="Hyperlink" xfId="365" builtinId="8" hidden="1"/>
    <cellStyle name="Hyperlink" xfId="367" builtinId="8" hidden="1"/>
    <cellStyle name="Hyperlink" xfId="369" builtinId="8" hidden="1"/>
    <cellStyle name="Hyperlink" xfId="371" builtinId="8" hidden="1"/>
    <cellStyle name="Hyperlink" xfId="373" builtinId="8" hidden="1"/>
    <cellStyle name="Hyperlink" xfId="375" builtinId="8" hidden="1"/>
    <cellStyle name="Hyperlink" xfId="377" builtinId="8" hidden="1"/>
    <cellStyle name="Hyperlink" xfId="379" builtinId="8" hidden="1"/>
    <cellStyle name="Hyperlink" xfId="381" builtinId="8" hidden="1"/>
    <cellStyle name="Hyperlink" xfId="383" builtinId="8" hidden="1"/>
    <cellStyle name="Hyperlink" xfId="385" builtinId="8" hidden="1"/>
    <cellStyle name="Hyperlink" xfId="387" builtinId="8" hidden="1"/>
    <cellStyle name="Hyperlink" xfId="389" builtinId="8" hidden="1"/>
    <cellStyle name="Hyperlink" xfId="391" builtinId="8" hidden="1"/>
    <cellStyle name="Hyperlink" xfId="393" builtinId="8" hidden="1"/>
    <cellStyle name="Hyperlink" xfId="395" builtinId="8" hidden="1"/>
    <cellStyle name="Hyperlink" xfId="397" builtinId="8" hidden="1"/>
    <cellStyle name="Hyperlink" xfId="399" builtinId="8" hidden="1"/>
    <cellStyle name="Hyperlink" xfId="401" builtinId="8" hidden="1"/>
    <cellStyle name="Hyperlink" xfId="403" builtinId="8" hidden="1"/>
    <cellStyle name="Hyperlink" xfId="405" builtinId="8" hidden="1"/>
    <cellStyle name="Hyperlink" xfId="407" builtinId="8" hidden="1"/>
    <cellStyle name="Hyperlink" xfId="409" builtinId="8" hidden="1"/>
    <cellStyle name="Hyperlink" xfId="411" builtinId="8" hidden="1"/>
    <cellStyle name="Hyperlink" xfId="413" builtinId="8" hidden="1"/>
    <cellStyle name="Hyperlink" xfId="415" builtinId="8" hidden="1"/>
    <cellStyle name="Hyperlink" xfId="417" builtinId="8" hidden="1"/>
    <cellStyle name="Hyperlink" xfId="419" builtinId="8" hidden="1"/>
    <cellStyle name="Hyperlink" xfId="421" builtinId="8" hidden="1"/>
    <cellStyle name="Hyperlink" xfId="423" builtinId="8" hidden="1"/>
    <cellStyle name="Hyperlink" xfId="425" builtinId="8" hidden="1"/>
    <cellStyle name="Hyperlink" xfId="427" builtinId="8" hidden="1"/>
    <cellStyle name="Hyperlink" xfId="429" builtinId="8" hidden="1"/>
    <cellStyle name="Hyperlink" xfId="431" builtinId="8" hidden="1"/>
    <cellStyle name="Hyperlink" xfId="433" builtinId="8" hidden="1"/>
    <cellStyle name="Hyperlink" xfId="435" builtinId="8" hidden="1"/>
    <cellStyle name="Hyperlink" xfId="437" builtinId="8" hidden="1"/>
    <cellStyle name="Hyperlink" xfId="439" builtinId="8" hidden="1"/>
    <cellStyle name="Hyperlink" xfId="441" builtinId="8" hidden="1"/>
    <cellStyle name="Hyperlink" xfId="443" builtinId="8" hidden="1"/>
    <cellStyle name="Hyperlink" xfId="445" builtinId="8" hidden="1"/>
    <cellStyle name="Hyperlink" xfId="447" builtinId="8" hidden="1"/>
    <cellStyle name="Hyperlink" xfId="449" builtinId="8" hidden="1"/>
    <cellStyle name="Hyperlink" xfId="451" builtinId="8" hidden="1"/>
    <cellStyle name="Hyperlink" xfId="453" builtinId="8" hidden="1"/>
    <cellStyle name="Hyperlink" xfId="456" builtinId="8"/>
    <cellStyle name="Normal" xfId="0" builtinId="0"/>
  </cellStyles>
  <dxfs count="0"/>
  <tableStyles count="0" defaultTableStyle="TableStyleMedium9" defaultPivotStyle="PivotStyleMedium4"/>
  <colors>
    <mruColors>
      <color rgb="FF008000"/>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emf"/><Relationship Id="rId7" Type="http://schemas.openxmlformats.org/officeDocument/2006/relationships/image" Target="../media/image8.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5" Type="http://schemas.openxmlformats.org/officeDocument/2006/relationships/image" Target="../media/image6.emf"/><Relationship Id="rId4"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3</xdr:rowOff>
    </xdr:from>
    <xdr:to>
      <xdr:col>0</xdr:col>
      <xdr:colOff>2011680</xdr:colOff>
      <xdr:row>4</xdr:row>
      <xdr:rowOff>140962</xdr:rowOff>
    </xdr:to>
    <xdr:pic>
      <xdr:nvPicPr>
        <xdr:cNvPr id="2" name="Picture 1">
          <a:extLst>
            <a:ext uri="{FF2B5EF4-FFF2-40B4-BE49-F238E27FC236}">
              <a16:creationId xmlns:a16="http://schemas.microsoft.com/office/drawing/2014/main" id="{38190274-92C1-5C43-26BF-2555DAB51064}"/>
            </a:ext>
          </a:extLst>
        </xdr:cNvPr>
        <xdr:cNvPicPr>
          <a:picLocks noChangeAspect="1"/>
        </xdr:cNvPicPr>
      </xdr:nvPicPr>
      <xdr:blipFill>
        <a:blip xmlns:r="http://schemas.openxmlformats.org/officeDocument/2006/relationships" r:embed="rId1"/>
        <a:stretch>
          <a:fillRect/>
        </a:stretch>
      </xdr:blipFill>
      <xdr:spPr>
        <a:xfrm>
          <a:off x="0" y="3"/>
          <a:ext cx="2011680" cy="9392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1016</xdr:colOff>
      <xdr:row>2</xdr:row>
      <xdr:rowOff>8636</xdr:rowOff>
    </xdr:to>
    <xdr:pic>
      <xdr:nvPicPr>
        <xdr:cNvPr id="4" name="Picture 3">
          <a:extLst>
            <a:ext uri="{FF2B5EF4-FFF2-40B4-BE49-F238E27FC236}">
              <a16:creationId xmlns:a16="http://schemas.microsoft.com/office/drawing/2014/main" id="{9F186116-5DB4-E447-9016-7BFFA9C88738}"/>
            </a:ext>
          </a:extLst>
        </xdr:cNvPr>
        <xdr:cNvPicPr preferRelativeResize="0">
          <a:picLocks noChangeAspect="1"/>
        </xdr:cNvPicPr>
      </xdr:nvPicPr>
      <xdr:blipFill>
        <a:blip xmlns:r="http://schemas.openxmlformats.org/officeDocument/2006/relationships" r:embed="rId1"/>
        <a:stretch>
          <a:fillRect/>
        </a:stretch>
      </xdr:blipFill>
      <xdr:spPr>
        <a:xfrm>
          <a:off x="0" y="497417"/>
          <a:ext cx="4012099" cy="5205052"/>
        </a:xfrm>
        <a:prstGeom prst="rect">
          <a:avLst/>
        </a:prstGeom>
        <a:ln w="9525">
          <a:solidFill>
            <a:schemeClr val="tx1"/>
          </a:solidFill>
        </a:ln>
      </xdr:spPr>
    </xdr:pic>
    <xdr:clientData/>
  </xdr:twoCellAnchor>
  <xdr:twoCellAnchor editAs="oneCell">
    <xdr:from>
      <xdr:col>0</xdr:col>
      <xdr:colOff>0</xdr:colOff>
      <xdr:row>2</xdr:row>
      <xdr:rowOff>0</xdr:rowOff>
    </xdr:from>
    <xdr:to>
      <xdr:col>1</xdr:col>
      <xdr:colOff>1016</xdr:colOff>
      <xdr:row>3</xdr:row>
      <xdr:rowOff>8636</xdr:rowOff>
    </xdr:to>
    <xdr:pic>
      <xdr:nvPicPr>
        <xdr:cNvPr id="5" name="Picture 4">
          <a:extLst>
            <a:ext uri="{FF2B5EF4-FFF2-40B4-BE49-F238E27FC236}">
              <a16:creationId xmlns:a16="http://schemas.microsoft.com/office/drawing/2014/main" id="{0503C71C-B846-0C48-84DA-BE258551FF8C}"/>
            </a:ext>
          </a:extLst>
        </xdr:cNvPr>
        <xdr:cNvPicPr preferRelativeResize="0">
          <a:picLocks noChangeAspect="1"/>
        </xdr:cNvPicPr>
      </xdr:nvPicPr>
      <xdr:blipFill>
        <a:blip xmlns:r="http://schemas.openxmlformats.org/officeDocument/2006/relationships" r:embed="rId2"/>
        <a:stretch>
          <a:fillRect/>
        </a:stretch>
      </xdr:blipFill>
      <xdr:spPr>
        <a:xfrm>
          <a:off x="0" y="5693833"/>
          <a:ext cx="4012099" cy="5205053"/>
        </a:xfrm>
        <a:prstGeom prst="rect">
          <a:avLst/>
        </a:prstGeom>
        <a:ln w="9525">
          <a:solidFill>
            <a:schemeClr val="tx1"/>
          </a:solidFill>
        </a:ln>
      </xdr:spPr>
    </xdr:pic>
    <xdr:clientData/>
  </xdr:twoCellAnchor>
  <xdr:twoCellAnchor editAs="oneCell">
    <xdr:from>
      <xdr:col>2</xdr:col>
      <xdr:colOff>0</xdr:colOff>
      <xdr:row>2</xdr:row>
      <xdr:rowOff>0</xdr:rowOff>
    </xdr:from>
    <xdr:to>
      <xdr:col>3</xdr:col>
      <xdr:colOff>1014</xdr:colOff>
      <xdr:row>3</xdr:row>
      <xdr:rowOff>8636</xdr:rowOff>
    </xdr:to>
    <xdr:pic>
      <xdr:nvPicPr>
        <xdr:cNvPr id="8" name="Picture 7">
          <a:extLst>
            <a:ext uri="{FF2B5EF4-FFF2-40B4-BE49-F238E27FC236}">
              <a16:creationId xmlns:a16="http://schemas.microsoft.com/office/drawing/2014/main" id="{998CFF28-F043-9241-99F2-0BD5FFBF5246}"/>
            </a:ext>
          </a:extLst>
        </xdr:cNvPr>
        <xdr:cNvPicPr preferRelativeResize="0">
          <a:picLocks noChangeAspect="1"/>
        </xdr:cNvPicPr>
      </xdr:nvPicPr>
      <xdr:blipFill>
        <a:blip xmlns:r="http://schemas.openxmlformats.org/officeDocument/2006/relationships" r:embed="rId3"/>
        <a:stretch>
          <a:fillRect/>
        </a:stretch>
      </xdr:blipFill>
      <xdr:spPr>
        <a:xfrm>
          <a:off x="4836583" y="5693833"/>
          <a:ext cx="4012098" cy="5205053"/>
        </a:xfrm>
        <a:prstGeom prst="rect">
          <a:avLst/>
        </a:prstGeom>
        <a:ln>
          <a:solidFill>
            <a:schemeClr val="tx1"/>
          </a:solidFill>
        </a:ln>
      </xdr:spPr>
    </xdr:pic>
    <xdr:clientData/>
  </xdr:twoCellAnchor>
  <xdr:twoCellAnchor editAs="oneCell">
    <xdr:from>
      <xdr:col>2</xdr:col>
      <xdr:colOff>0</xdr:colOff>
      <xdr:row>1</xdr:row>
      <xdr:rowOff>0</xdr:rowOff>
    </xdr:from>
    <xdr:to>
      <xdr:col>3</xdr:col>
      <xdr:colOff>1014</xdr:colOff>
      <xdr:row>2</xdr:row>
      <xdr:rowOff>8636</xdr:rowOff>
    </xdr:to>
    <xdr:pic>
      <xdr:nvPicPr>
        <xdr:cNvPr id="9" name="Picture 8">
          <a:extLst>
            <a:ext uri="{FF2B5EF4-FFF2-40B4-BE49-F238E27FC236}">
              <a16:creationId xmlns:a16="http://schemas.microsoft.com/office/drawing/2014/main" id="{ABCC069E-E694-8B40-A129-16118C71DB39}"/>
            </a:ext>
          </a:extLst>
        </xdr:cNvPr>
        <xdr:cNvPicPr preferRelativeResize="0">
          <a:picLocks noChangeAspect="1"/>
        </xdr:cNvPicPr>
      </xdr:nvPicPr>
      <xdr:blipFill>
        <a:blip xmlns:r="http://schemas.openxmlformats.org/officeDocument/2006/relationships" r:embed="rId4"/>
        <a:stretch>
          <a:fillRect/>
        </a:stretch>
      </xdr:blipFill>
      <xdr:spPr>
        <a:xfrm>
          <a:off x="4836583" y="497417"/>
          <a:ext cx="4012098" cy="5205052"/>
        </a:xfrm>
        <a:prstGeom prst="rect">
          <a:avLst/>
        </a:prstGeom>
        <a:ln>
          <a:solidFill>
            <a:schemeClr val="tx1"/>
          </a:solidFill>
        </a:ln>
      </xdr:spPr>
    </xdr:pic>
    <xdr:clientData/>
  </xdr:twoCellAnchor>
  <xdr:twoCellAnchor editAs="oneCell">
    <xdr:from>
      <xdr:col>4</xdr:col>
      <xdr:colOff>0</xdr:colOff>
      <xdr:row>1</xdr:row>
      <xdr:rowOff>0</xdr:rowOff>
    </xdr:from>
    <xdr:to>
      <xdr:col>5</xdr:col>
      <xdr:colOff>1016</xdr:colOff>
      <xdr:row>2</xdr:row>
      <xdr:rowOff>8636</xdr:rowOff>
    </xdr:to>
    <xdr:pic>
      <xdr:nvPicPr>
        <xdr:cNvPr id="10" name="Picture 9">
          <a:extLst>
            <a:ext uri="{FF2B5EF4-FFF2-40B4-BE49-F238E27FC236}">
              <a16:creationId xmlns:a16="http://schemas.microsoft.com/office/drawing/2014/main" id="{E1B417B9-BD84-1443-9C40-4E506210CF87}"/>
            </a:ext>
          </a:extLst>
        </xdr:cNvPr>
        <xdr:cNvPicPr preferRelativeResize="0">
          <a:picLocks noChangeAspect="1"/>
        </xdr:cNvPicPr>
      </xdr:nvPicPr>
      <xdr:blipFill>
        <a:blip xmlns:r="http://schemas.openxmlformats.org/officeDocument/2006/relationships" r:embed="rId5"/>
        <a:stretch>
          <a:fillRect/>
        </a:stretch>
      </xdr:blipFill>
      <xdr:spPr>
        <a:xfrm>
          <a:off x="9673167" y="497417"/>
          <a:ext cx="4022682" cy="5205052"/>
        </a:xfrm>
        <a:prstGeom prst="rect">
          <a:avLst/>
        </a:prstGeom>
        <a:ln>
          <a:solidFill>
            <a:schemeClr val="tx1"/>
          </a:solidFill>
        </a:ln>
      </xdr:spPr>
    </xdr:pic>
    <xdr:clientData/>
  </xdr:twoCellAnchor>
  <xdr:twoCellAnchor editAs="oneCell">
    <xdr:from>
      <xdr:col>4</xdr:col>
      <xdr:colOff>0</xdr:colOff>
      <xdr:row>2</xdr:row>
      <xdr:rowOff>0</xdr:rowOff>
    </xdr:from>
    <xdr:to>
      <xdr:col>5</xdr:col>
      <xdr:colOff>1016</xdr:colOff>
      <xdr:row>3</xdr:row>
      <xdr:rowOff>8636</xdr:rowOff>
    </xdr:to>
    <xdr:pic>
      <xdr:nvPicPr>
        <xdr:cNvPr id="11" name="Picture 10">
          <a:extLst>
            <a:ext uri="{FF2B5EF4-FFF2-40B4-BE49-F238E27FC236}">
              <a16:creationId xmlns:a16="http://schemas.microsoft.com/office/drawing/2014/main" id="{689AD408-8F12-D944-A4CD-F5748BD8CBB2}"/>
            </a:ext>
          </a:extLst>
        </xdr:cNvPr>
        <xdr:cNvPicPr preferRelativeResize="0">
          <a:picLocks noChangeAspect="1"/>
        </xdr:cNvPicPr>
      </xdr:nvPicPr>
      <xdr:blipFill>
        <a:blip xmlns:r="http://schemas.openxmlformats.org/officeDocument/2006/relationships" r:embed="rId6"/>
        <a:stretch>
          <a:fillRect/>
        </a:stretch>
      </xdr:blipFill>
      <xdr:spPr>
        <a:xfrm>
          <a:off x="9673167" y="5693833"/>
          <a:ext cx="4022682" cy="5205053"/>
        </a:xfrm>
        <a:prstGeom prst="rect">
          <a:avLst/>
        </a:prstGeom>
        <a:ln>
          <a:solidFill>
            <a:schemeClr val="tx1"/>
          </a:solidFill>
        </a:ln>
      </xdr:spPr>
    </xdr:pic>
    <xdr:clientData/>
  </xdr:twoCellAnchor>
  <xdr:twoCellAnchor editAs="oneCell">
    <xdr:from>
      <xdr:col>6</xdr:col>
      <xdr:colOff>0</xdr:colOff>
      <xdr:row>2</xdr:row>
      <xdr:rowOff>1418</xdr:rowOff>
    </xdr:from>
    <xdr:to>
      <xdr:col>6</xdr:col>
      <xdr:colOff>6724533</xdr:colOff>
      <xdr:row>2</xdr:row>
      <xdr:rowOff>5184647</xdr:rowOff>
    </xdr:to>
    <xdr:pic>
      <xdr:nvPicPr>
        <xdr:cNvPr id="13" name="Picture 12">
          <a:extLst>
            <a:ext uri="{FF2B5EF4-FFF2-40B4-BE49-F238E27FC236}">
              <a16:creationId xmlns:a16="http://schemas.microsoft.com/office/drawing/2014/main" id="{57B72EE8-B313-634E-A41F-8653515EAE1A}"/>
            </a:ext>
          </a:extLst>
        </xdr:cNvPr>
        <xdr:cNvPicPr preferRelativeResize="0">
          <a:picLocks noChangeAspect="1"/>
        </xdr:cNvPicPr>
      </xdr:nvPicPr>
      <xdr:blipFill>
        <a:blip xmlns:r="http://schemas.openxmlformats.org/officeDocument/2006/relationships" r:embed="rId7"/>
        <a:stretch>
          <a:fillRect/>
        </a:stretch>
      </xdr:blipFill>
      <xdr:spPr>
        <a:xfrm>
          <a:off x="14509750" y="5695251"/>
          <a:ext cx="6724533" cy="5183229"/>
        </a:xfrm>
        <a:prstGeom prst="rect">
          <a:avLst/>
        </a:prstGeom>
        <a:ln w="12700">
          <a:solidFill>
            <a:schemeClr val="tx1"/>
          </a:solidFill>
        </a:ln>
      </xdr:spPr>
    </xdr:pic>
    <xdr:clientData/>
  </xdr:twoCellAnchor>
  <xdr:twoCellAnchor editAs="oneCell">
    <xdr:from>
      <xdr:col>6</xdr:col>
      <xdr:colOff>0</xdr:colOff>
      <xdr:row>1</xdr:row>
      <xdr:rowOff>0</xdr:rowOff>
    </xdr:from>
    <xdr:to>
      <xdr:col>6</xdr:col>
      <xdr:colOff>6720840</xdr:colOff>
      <xdr:row>1</xdr:row>
      <xdr:rowOff>5184648</xdr:rowOff>
    </xdr:to>
    <xdr:pic>
      <xdr:nvPicPr>
        <xdr:cNvPr id="15" name="Picture 14">
          <a:extLst>
            <a:ext uri="{FF2B5EF4-FFF2-40B4-BE49-F238E27FC236}">
              <a16:creationId xmlns:a16="http://schemas.microsoft.com/office/drawing/2014/main" id="{B59F551A-B4C8-534B-9E14-C878B128D3D8}"/>
            </a:ext>
          </a:extLst>
        </xdr:cNvPr>
        <xdr:cNvPicPr preferRelativeResize="0">
          <a:picLocks noChangeAspect="1"/>
        </xdr:cNvPicPr>
      </xdr:nvPicPr>
      <xdr:blipFill>
        <a:blip xmlns:r="http://schemas.openxmlformats.org/officeDocument/2006/relationships" r:embed="rId8"/>
        <a:stretch>
          <a:fillRect/>
        </a:stretch>
      </xdr:blipFill>
      <xdr:spPr>
        <a:xfrm>
          <a:off x="14509750" y="497417"/>
          <a:ext cx="6720840" cy="5184648"/>
        </a:xfrm>
        <a:prstGeom prst="rect">
          <a:avLst/>
        </a:prstGeom>
        <a:ln>
          <a:solidFill>
            <a:schemeClr val="tx1"/>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cdms.net/" TargetMode="External"/></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777F7F-E5CA-354D-8EBF-8FD7157A0825}">
  <dimension ref="A1:D108"/>
  <sheetViews>
    <sheetView topLeftCell="A45" zoomScale="140" zoomScaleNormal="140" workbookViewId="0">
      <selection activeCell="A11" sqref="A11"/>
    </sheetView>
  </sheetViews>
  <sheetFormatPr baseColWidth="10" defaultColWidth="0" defaultRowHeight="16" zeroHeight="1" x14ac:dyDescent="0.2"/>
  <cols>
    <col min="1" max="1" width="174.33203125" style="100" customWidth="1"/>
    <col min="2" max="4" width="10.83203125" style="100" customWidth="1"/>
    <col min="5" max="16384" width="10.83203125" style="100" hidden="1"/>
  </cols>
  <sheetData>
    <row r="1" spans="1:1" x14ac:dyDescent="0.2"/>
    <row r="2" spans="1:1" x14ac:dyDescent="0.2"/>
    <row r="3" spans="1:1" x14ac:dyDescent="0.2"/>
    <row r="4" spans="1:1" x14ac:dyDescent="0.2"/>
    <row r="5" spans="1:1" x14ac:dyDescent="0.2"/>
    <row r="6" spans="1:1" x14ac:dyDescent="0.2"/>
    <row r="7" spans="1:1" ht="17" x14ac:dyDescent="0.2">
      <c r="A7" s="84" t="s">
        <v>386</v>
      </c>
    </row>
    <row r="8" spans="1:1" x14ac:dyDescent="0.2">
      <c r="A8" s="84"/>
    </row>
    <row r="9" spans="1:1" ht="20" x14ac:dyDescent="0.2">
      <c r="A9" s="106" t="s">
        <v>336</v>
      </c>
    </row>
    <row r="10" spans="1:1" x14ac:dyDescent="0.2">
      <c r="A10" s="107"/>
    </row>
    <row r="11" spans="1:1" ht="17" x14ac:dyDescent="0.2">
      <c r="A11" s="108" t="s">
        <v>337</v>
      </c>
    </row>
    <row r="12" spans="1:1" ht="17" x14ac:dyDescent="0.2">
      <c r="A12" s="108" t="s">
        <v>385</v>
      </c>
    </row>
    <row r="13" spans="1:1" ht="17" x14ac:dyDescent="0.2">
      <c r="A13" s="108" t="s">
        <v>338</v>
      </c>
    </row>
    <row r="14" spans="1:1" x14ac:dyDescent="0.2">
      <c r="A14" s="102"/>
    </row>
    <row r="15" spans="1:1" ht="17" x14ac:dyDescent="0.2">
      <c r="A15" s="103" t="s">
        <v>339</v>
      </c>
    </row>
    <row r="16" spans="1:1" ht="34" x14ac:dyDescent="0.2">
      <c r="A16" s="102" t="s">
        <v>340</v>
      </c>
    </row>
    <row r="17" spans="1:1" x14ac:dyDescent="0.2">
      <c r="A17" s="102"/>
    </row>
    <row r="18" spans="1:1" ht="68" x14ac:dyDescent="0.2">
      <c r="A18" s="102" t="s">
        <v>341</v>
      </c>
    </row>
    <row r="19" spans="1:1" x14ac:dyDescent="0.2">
      <c r="A19" s="102"/>
    </row>
    <row r="20" spans="1:1" ht="34" x14ac:dyDescent="0.2">
      <c r="A20" s="104" t="s">
        <v>342</v>
      </c>
    </row>
    <row r="21" spans="1:1" x14ac:dyDescent="0.2">
      <c r="A21" s="102"/>
    </row>
    <row r="22" spans="1:1" ht="17" x14ac:dyDescent="0.2">
      <c r="A22" s="105" t="s">
        <v>343</v>
      </c>
    </row>
    <row r="23" spans="1:1" ht="34" x14ac:dyDescent="0.2">
      <c r="A23" s="102" t="s">
        <v>344</v>
      </c>
    </row>
    <row r="24" spans="1:1" x14ac:dyDescent="0.2">
      <c r="A24" s="102"/>
    </row>
    <row r="25" spans="1:1" ht="17" x14ac:dyDescent="0.2">
      <c r="A25" s="105" t="s">
        <v>345</v>
      </c>
    </row>
    <row r="26" spans="1:1" ht="17" x14ac:dyDescent="0.2">
      <c r="A26" s="102" t="s">
        <v>346</v>
      </c>
    </row>
    <row r="27" spans="1:1" x14ac:dyDescent="0.2">
      <c r="A27" s="102"/>
    </row>
    <row r="28" spans="1:1" ht="34" x14ac:dyDescent="0.2">
      <c r="A28" s="102" t="s">
        <v>347</v>
      </c>
    </row>
    <row r="29" spans="1:1" x14ac:dyDescent="0.2">
      <c r="A29" s="102"/>
    </row>
    <row r="30" spans="1:1" ht="17" x14ac:dyDescent="0.2">
      <c r="A30" s="102" t="s">
        <v>348</v>
      </c>
    </row>
    <row r="31" spans="1:1" x14ac:dyDescent="0.2">
      <c r="A31" s="102"/>
    </row>
    <row r="32" spans="1:1" ht="34" x14ac:dyDescent="0.2">
      <c r="A32" s="102" t="s">
        <v>349</v>
      </c>
    </row>
    <row r="33" spans="1:1" x14ac:dyDescent="0.2">
      <c r="A33" s="102"/>
    </row>
    <row r="34" spans="1:1" ht="17" x14ac:dyDescent="0.2">
      <c r="A34" s="102" t="s">
        <v>350</v>
      </c>
    </row>
    <row r="35" spans="1:1" x14ac:dyDescent="0.2">
      <c r="A35" s="102"/>
    </row>
    <row r="36" spans="1:1" ht="17" customHeight="1" x14ac:dyDescent="0.2">
      <c r="A36" s="102" t="s">
        <v>351</v>
      </c>
    </row>
    <row r="37" spans="1:1" x14ac:dyDescent="0.2">
      <c r="A37" s="102"/>
    </row>
    <row r="38" spans="1:1" ht="17" customHeight="1" x14ac:dyDescent="0.2">
      <c r="A38" s="102" t="s">
        <v>352</v>
      </c>
    </row>
    <row r="39" spans="1:1" x14ac:dyDescent="0.2">
      <c r="A39" s="102"/>
    </row>
    <row r="40" spans="1:1" ht="68" x14ac:dyDescent="0.2">
      <c r="A40" s="102" t="s">
        <v>353</v>
      </c>
    </row>
    <row r="41" spans="1:1" x14ac:dyDescent="0.2">
      <c r="A41" s="102"/>
    </row>
    <row r="42" spans="1:1" ht="17" x14ac:dyDescent="0.2">
      <c r="A42" s="102" t="s">
        <v>354</v>
      </c>
    </row>
    <row r="43" spans="1:1" x14ac:dyDescent="0.2">
      <c r="A43" s="102"/>
    </row>
    <row r="44" spans="1:1" ht="17" x14ac:dyDescent="0.2">
      <c r="A44" s="102" t="s">
        <v>355</v>
      </c>
    </row>
    <row r="45" spans="1:1" x14ac:dyDescent="0.2">
      <c r="A45" s="102"/>
    </row>
    <row r="46" spans="1:1" ht="17" x14ac:dyDescent="0.2">
      <c r="A46" s="102" t="s">
        <v>356</v>
      </c>
    </row>
    <row r="47" spans="1:1" x14ac:dyDescent="0.2">
      <c r="A47" s="102"/>
    </row>
    <row r="48" spans="1:1" ht="17" x14ac:dyDescent="0.2">
      <c r="A48" s="102" t="s">
        <v>357</v>
      </c>
    </row>
    <row r="49" spans="1:1" x14ac:dyDescent="0.2">
      <c r="A49" s="102"/>
    </row>
    <row r="50" spans="1:1" ht="17" x14ac:dyDescent="0.2">
      <c r="A50" s="105" t="s">
        <v>358</v>
      </c>
    </row>
    <row r="51" spans="1:1" ht="17" x14ac:dyDescent="0.2">
      <c r="A51" s="102" t="s">
        <v>359</v>
      </c>
    </row>
    <row r="52" spans="1:1" x14ac:dyDescent="0.2">
      <c r="A52" s="102"/>
    </row>
    <row r="53" spans="1:1" ht="17" x14ac:dyDescent="0.2">
      <c r="A53" s="102" t="s">
        <v>360</v>
      </c>
    </row>
    <row r="54" spans="1:1" x14ac:dyDescent="0.2">
      <c r="A54" s="102"/>
    </row>
    <row r="55" spans="1:1" ht="17" x14ac:dyDescent="0.2">
      <c r="A55" s="102" t="s">
        <v>361</v>
      </c>
    </row>
    <row r="56" spans="1:1" x14ac:dyDescent="0.2">
      <c r="A56" s="102"/>
    </row>
    <row r="57" spans="1:1" ht="34" x14ac:dyDescent="0.2">
      <c r="A57" s="102" t="s">
        <v>362</v>
      </c>
    </row>
    <row r="58" spans="1:1" x14ac:dyDescent="0.2">
      <c r="A58" s="102"/>
    </row>
    <row r="59" spans="1:1" ht="17" x14ac:dyDescent="0.2">
      <c r="A59" s="102" t="s">
        <v>363</v>
      </c>
    </row>
    <row r="60" spans="1:1" x14ac:dyDescent="0.2">
      <c r="A60" s="102"/>
    </row>
    <row r="61" spans="1:1" ht="17" x14ac:dyDescent="0.2">
      <c r="A61" s="102" t="s">
        <v>364</v>
      </c>
    </row>
    <row r="62" spans="1:1" x14ac:dyDescent="0.2">
      <c r="A62" s="102"/>
    </row>
    <row r="63" spans="1:1" ht="17" x14ac:dyDescent="0.2">
      <c r="A63" s="102" t="s">
        <v>365</v>
      </c>
    </row>
    <row r="64" spans="1:1" x14ac:dyDescent="0.2">
      <c r="A64" s="102"/>
    </row>
    <row r="65" spans="1:1" ht="17" x14ac:dyDescent="0.2">
      <c r="A65" s="102" t="s">
        <v>366</v>
      </c>
    </row>
    <row r="66" spans="1:1" x14ac:dyDescent="0.2">
      <c r="A66" s="102"/>
    </row>
    <row r="67" spans="1:1" ht="17" customHeight="1" x14ac:dyDescent="0.2">
      <c r="A67" s="102" t="s">
        <v>367</v>
      </c>
    </row>
    <row r="68" spans="1:1" x14ac:dyDescent="0.2">
      <c r="A68" s="102"/>
    </row>
    <row r="69" spans="1:1" ht="17" x14ac:dyDescent="0.2">
      <c r="A69" s="102" t="s">
        <v>368</v>
      </c>
    </row>
    <row r="70" spans="1:1" x14ac:dyDescent="0.2">
      <c r="A70" s="102"/>
    </row>
    <row r="71" spans="1:1" ht="17" x14ac:dyDescent="0.2">
      <c r="A71" s="102" t="s">
        <v>369</v>
      </c>
    </row>
    <row r="72" spans="1:1" x14ac:dyDescent="0.2">
      <c r="A72" s="102"/>
    </row>
    <row r="73" spans="1:1" ht="17" x14ac:dyDescent="0.2">
      <c r="A73" s="102" t="s">
        <v>370</v>
      </c>
    </row>
    <row r="74" spans="1:1" x14ac:dyDescent="0.2">
      <c r="A74" s="102"/>
    </row>
    <row r="75" spans="1:1" ht="17" x14ac:dyDescent="0.2">
      <c r="A75" s="102" t="s">
        <v>371</v>
      </c>
    </row>
    <row r="76" spans="1:1" x14ac:dyDescent="0.2">
      <c r="A76" s="102"/>
    </row>
    <row r="77" spans="1:1" ht="17" x14ac:dyDescent="0.2">
      <c r="A77" s="105" t="s">
        <v>372</v>
      </c>
    </row>
    <row r="78" spans="1:1" ht="51" x14ac:dyDescent="0.2">
      <c r="A78" s="102" t="s">
        <v>373</v>
      </c>
    </row>
    <row r="79" spans="1:1" x14ac:dyDescent="0.2">
      <c r="A79" s="102"/>
    </row>
    <row r="80" spans="1:1" ht="17" x14ac:dyDescent="0.2">
      <c r="A80" s="102" t="s">
        <v>374</v>
      </c>
    </row>
    <row r="81" spans="1:1" x14ac:dyDescent="0.2">
      <c r="A81" s="102"/>
    </row>
    <row r="82" spans="1:1" ht="17" x14ac:dyDescent="0.2">
      <c r="A82" s="102" t="s">
        <v>375</v>
      </c>
    </row>
    <row r="83" spans="1:1" x14ac:dyDescent="0.2">
      <c r="A83" s="102"/>
    </row>
    <row r="84" spans="1:1" ht="51" x14ac:dyDescent="0.2">
      <c r="A84" s="102" t="s">
        <v>376</v>
      </c>
    </row>
    <row r="85" spans="1:1" x14ac:dyDescent="0.2">
      <c r="A85" s="102"/>
    </row>
    <row r="86" spans="1:1" ht="34" x14ac:dyDescent="0.2">
      <c r="A86" s="102" t="s">
        <v>377</v>
      </c>
    </row>
    <row r="87" spans="1:1" x14ac:dyDescent="0.2">
      <c r="A87" s="102"/>
    </row>
    <row r="88" spans="1:1" ht="17" x14ac:dyDescent="0.2">
      <c r="A88" s="102" t="s">
        <v>378</v>
      </c>
    </row>
    <row r="89" spans="1:1" x14ac:dyDescent="0.2">
      <c r="A89" s="102"/>
    </row>
    <row r="90" spans="1:1" ht="17" x14ac:dyDescent="0.2">
      <c r="A90" s="102" t="s">
        <v>379</v>
      </c>
    </row>
    <row r="91" spans="1:1" x14ac:dyDescent="0.2">
      <c r="A91" s="102"/>
    </row>
    <row r="92" spans="1:1" ht="34" x14ac:dyDescent="0.2">
      <c r="A92" s="102" t="s">
        <v>380</v>
      </c>
    </row>
    <row r="93" spans="1:1" x14ac:dyDescent="0.2">
      <c r="A93" s="102"/>
    </row>
    <row r="94" spans="1:1" ht="17" x14ac:dyDescent="0.2">
      <c r="A94" s="105" t="s">
        <v>381</v>
      </c>
    </row>
    <row r="95" spans="1:1" ht="17" x14ac:dyDescent="0.2">
      <c r="A95" s="102" t="s">
        <v>382</v>
      </c>
    </row>
    <row r="96" spans="1:1" x14ac:dyDescent="0.2">
      <c r="A96" s="102"/>
    </row>
    <row r="97" spans="1:1" ht="17" x14ac:dyDescent="0.2">
      <c r="A97" s="105" t="s">
        <v>383</v>
      </c>
    </row>
    <row r="98" spans="1:1" ht="34" x14ac:dyDescent="0.2">
      <c r="A98" s="102" t="s">
        <v>384</v>
      </c>
    </row>
    <row r="99" spans="1:1" x14ac:dyDescent="0.2">
      <c r="A99" s="102"/>
    </row>
    <row r="100" spans="1:1" x14ac:dyDescent="0.2">
      <c r="A100" s="101"/>
    </row>
    <row r="101" spans="1:1" x14ac:dyDescent="0.2"/>
    <row r="102" spans="1:1" x14ac:dyDescent="0.2"/>
    <row r="103" spans="1:1" x14ac:dyDescent="0.2"/>
    <row r="104" spans="1:1" x14ac:dyDescent="0.2"/>
    <row r="105" spans="1:1" x14ac:dyDescent="0.2"/>
    <row r="106" spans="1:1" x14ac:dyDescent="0.2"/>
    <row r="107" spans="1:1" x14ac:dyDescent="0.2"/>
    <row r="108" spans="1:1" x14ac:dyDescent="0.2"/>
  </sheetData>
  <sheetProtection algorithmName="SHA-512" hashValue="RhAVj+1eW7I1iSd0YbCB/CKAH1dIpQLVr7Gg5hIMkqbL8ADcBfAfYRkL/tOPVnTdk0O8cvgj6pydHfSEg1BHNQ==" saltValue="j46j81W1KAnUYpKrLwHiNg==" spinCount="100000" sheet="1" objects="1" scenarios="1"/>
  <hyperlinks>
    <hyperlink ref="A20" r:id="rId1" display="https://www.cdms.net/" xr:uid="{BA046530-096D-6040-88C8-92EF0B6A4C5C}"/>
  </hyperlinks>
  <pageMargins left="0.7" right="0.7" top="0.75" bottom="0.75" header="0.3" footer="0.3"/>
  <pageSetup orientation="portrait" horizontalDpi="0" verticalDpi="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95A68-B092-3842-9215-067F967DF258}">
  <sheetPr>
    <pageSetUpPr fitToPage="1"/>
  </sheetPr>
  <dimension ref="A1:O127"/>
  <sheetViews>
    <sheetView tabSelected="1" zoomScaleNormal="100" zoomScalePageLayoutView="125" workbookViewId="0">
      <pane ySplit="1" topLeftCell="A2" activePane="bottomLeft" state="frozen"/>
      <selection pane="bottomLeft" activeCell="E26" sqref="E26"/>
    </sheetView>
  </sheetViews>
  <sheetFormatPr baseColWidth="10" defaultColWidth="0" defaultRowHeight="16" zeroHeight="1" x14ac:dyDescent="0.2"/>
  <cols>
    <col min="1" max="1" width="46.5" style="5" customWidth="1"/>
    <col min="2" max="2" width="27.5" style="5" bestFit="1" customWidth="1"/>
    <col min="3" max="3" width="32.5" style="5" bestFit="1" customWidth="1"/>
    <col min="4" max="4" width="15.83203125" style="5" customWidth="1"/>
    <col min="5" max="5" width="30.1640625" style="5" bestFit="1" customWidth="1"/>
    <col min="6" max="7" width="10.83203125" style="5" customWidth="1"/>
    <col min="8" max="8" width="13.33203125" style="5" bestFit="1" customWidth="1"/>
    <col min="9" max="9" width="11.5" style="5" bestFit="1" customWidth="1"/>
    <col min="10" max="10" width="18.5" style="5" bestFit="1" customWidth="1"/>
    <col min="11" max="11" width="11.1640625" style="5" bestFit="1" customWidth="1"/>
    <col min="12" max="12" width="20.33203125" style="5" bestFit="1" customWidth="1"/>
    <col min="13" max="13" width="11.1640625" style="5" bestFit="1" customWidth="1"/>
    <col min="14" max="14" width="10.83203125" style="5" customWidth="1"/>
    <col min="15" max="15" width="10.83203125" style="18" customWidth="1"/>
    <col min="16" max="16384" width="10.83203125" style="5" hidden="1"/>
  </cols>
  <sheetData>
    <row r="1" spans="1:15" s="16" customFormat="1" ht="64" customHeight="1" thickBot="1" x14ac:dyDescent="0.25">
      <c r="A1" s="25" t="s">
        <v>1</v>
      </c>
      <c r="B1" s="25" t="s">
        <v>182</v>
      </c>
      <c r="C1" s="25" t="s">
        <v>318</v>
      </c>
      <c r="D1" s="25" t="s">
        <v>314</v>
      </c>
      <c r="E1" s="25" t="s">
        <v>165</v>
      </c>
      <c r="F1" s="25" t="s">
        <v>28</v>
      </c>
      <c r="G1" s="25" t="s">
        <v>0</v>
      </c>
      <c r="H1" s="25" t="s">
        <v>183</v>
      </c>
      <c r="I1" s="25" t="s">
        <v>309</v>
      </c>
      <c r="J1" s="25" t="s">
        <v>101</v>
      </c>
      <c r="K1" s="25" t="s">
        <v>195</v>
      </c>
      <c r="L1" s="25" t="s">
        <v>101</v>
      </c>
      <c r="M1" s="25" t="s">
        <v>195</v>
      </c>
      <c r="O1" s="17"/>
    </row>
    <row r="2" spans="1:15" x14ac:dyDescent="0.2">
      <c r="A2" s="2" t="s">
        <v>107</v>
      </c>
      <c r="B2" s="2" t="s">
        <v>199</v>
      </c>
      <c r="C2" s="2" t="s">
        <v>200</v>
      </c>
      <c r="D2" s="2">
        <v>4</v>
      </c>
      <c r="E2" s="2" t="s">
        <v>167</v>
      </c>
      <c r="F2" s="2" t="s">
        <v>2</v>
      </c>
      <c r="G2" s="3">
        <v>269.97000000000003</v>
      </c>
      <c r="H2" s="2" t="s">
        <v>6</v>
      </c>
      <c r="I2" s="41">
        <f>$G$2/128*3</f>
        <v>6.3274218750000006</v>
      </c>
      <c r="J2" s="2" t="s">
        <v>42</v>
      </c>
      <c r="K2" s="4">
        <f>2/128*3</f>
        <v>4.6875E-2</v>
      </c>
      <c r="L2" s="2" t="s">
        <v>45</v>
      </c>
      <c r="M2" s="53" t="s">
        <v>45</v>
      </c>
    </row>
    <row r="3" spans="1:15" x14ac:dyDescent="0.2">
      <c r="A3" s="2" t="s">
        <v>123</v>
      </c>
      <c r="B3" s="2"/>
      <c r="C3" s="2"/>
      <c r="D3" s="2"/>
      <c r="E3" s="2"/>
      <c r="F3" s="2"/>
      <c r="G3" s="6"/>
      <c r="H3" s="2" t="s">
        <v>7</v>
      </c>
      <c r="I3" s="42">
        <f>$G$2/128*4</f>
        <v>8.4365625000000009</v>
      </c>
      <c r="J3" s="2"/>
      <c r="K3" s="4">
        <f>2/128*4</f>
        <v>6.25E-2</v>
      </c>
      <c r="L3" s="2"/>
      <c r="M3" s="54" t="s">
        <v>45</v>
      </c>
    </row>
    <row r="4" spans="1:15" x14ac:dyDescent="0.2">
      <c r="A4" s="2"/>
      <c r="B4" s="2"/>
      <c r="C4" s="2"/>
      <c r="D4" s="2"/>
      <c r="E4" s="2"/>
      <c r="F4" s="2"/>
      <c r="G4" s="6"/>
      <c r="H4" s="2" t="s">
        <v>8</v>
      </c>
      <c r="I4" s="42">
        <f>$G$2/128*5</f>
        <v>10.545703125000001</v>
      </c>
      <c r="J4" s="2"/>
      <c r="K4" s="4">
        <f>2/128*5</f>
        <v>7.8125E-2</v>
      </c>
      <c r="L4" s="2"/>
      <c r="M4" s="54" t="s">
        <v>45</v>
      </c>
    </row>
    <row r="5" spans="1:15" x14ac:dyDescent="0.2">
      <c r="A5" s="2"/>
      <c r="B5" s="2"/>
      <c r="C5" s="2"/>
      <c r="D5" s="2"/>
      <c r="E5" s="2"/>
      <c r="F5" s="2"/>
      <c r="G5" s="6"/>
      <c r="H5" s="2" t="s">
        <v>9</v>
      </c>
      <c r="I5" s="42">
        <f>$G$2/128*6</f>
        <v>12.654843750000001</v>
      </c>
      <c r="J5" s="2"/>
      <c r="K5" s="4">
        <f>2/128*6</f>
        <v>9.375E-2</v>
      </c>
      <c r="L5" s="2"/>
      <c r="M5" s="54" t="s">
        <v>45</v>
      </c>
    </row>
    <row r="6" spans="1:15" ht="17" thickBot="1" x14ac:dyDescent="0.25">
      <c r="A6" s="26"/>
      <c r="B6" s="26"/>
      <c r="C6" s="26"/>
      <c r="D6" s="26"/>
      <c r="E6" s="26"/>
      <c r="F6" s="26"/>
      <c r="G6" s="27"/>
      <c r="H6" s="26" t="s">
        <v>10</v>
      </c>
      <c r="I6" s="43">
        <f>$G$2/128*7</f>
        <v>14.763984375000001</v>
      </c>
      <c r="J6" s="26"/>
      <c r="K6" s="28">
        <f>2/128*7</f>
        <v>0.109375</v>
      </c>
      <c r="L6" s="26"/>
      <c r="M6" s="55" t="s">
        <v>45</v>
      </c>
    </row>
    <row r="7" spans="1:15" x14ac:dyDescent="0.2">
      <c r="A7" s="2" t="s">
        <v>108</v>
      </c>
      <c r="B7" s="2" t="s">
        <v>201</v>
      </c>
      <c r="C7" s="2" t="s">
        <v>202</v>
      </c>
      <c r="D7" s="2">
        <v>4</v>
      </c>
      <c r="E7" s="2" t="s">
        <v>167</v>
      </c>
      <c r="F7" s="2" t="s">
        <v>2</v>
      </c>
      <c r="G7" s="3">
        <v>0</v>
      </c>
      <c r="H7" s="2" t="s">
        <v>22</v>
      </c>
      <c r="I7" s="42">
        <f>$G$7/8*1</f>
        <v>0</v>
      </c>
      <c r="J7" s="2" t="s">
        <v>42</v>
      </c>
      <c r="K7" s="4">
        <f>0.1/8*1</f>
        <v>1.2500000000000001E-2</v>
      </c>
      <c r="L7" s="2" t="s">
        <v>43</v>
      </c>
      <c r="M7" s="56">
        <f>3.54/8*1</f>
        <v>0.4425</v>
      </c>
    </row>
    <row r="8" spans="1:15" x14ac:dyDescent="0.2">
      <c r="A8" s="2"/>
      <c r="B8" s="2" t="s">
        <v>203</v>
      </c>
      <c r="C8" s="2" t="s">
        <v>204</v>
      </c>
      <c r="D8" s="2">
        <v>4</v>
      </c>
      <c r="E8" s="2" t="s">
        <v>167</v>
      </c>
      <c r="F8" s="2"/>
      <c r="G8" s="2"/>
      <c r="H8" s="2" t="s">
        <v>3</v>
      </c>
      <c r="I8" s="42">
        <f>$G$7/8*1.5</f>
        <v>0</v>
      </c>
      <c r="J8" s="2"/>
      <c r="K8" s="4">
        <f>0.1/8*1.5</f>
        <v>1.8750000000000003E-2</v>
      </c>
      <c r="L8" s="2"/>
      <c r="M8" s="56">
        <f>3.54/8*1.5</f>
        <v>0.66375000000000006</v>
      </c>
    </row>
    <row r="9" spans="1:15" ht="17" thickBot="1" x14ac:dyDescent="0.25">
      <c r="A9" s="26"/>
      <c r="B9" s="26"/>
      <c r="C9" s="26"/>
      <c r="D9" s="26"/>
      <c r="E9" s="26"/>
      <c r="F9" s="26"/>
      <c r="G9" s="26"/>
      <c r="H9" s="26" t="s">
        <v>27</v>
      </c>
      <c r="I9" s="43">
        <f>$G$7/8*4.5</f>
        <v>0</v>
      </c>
      <c r="J9" s="26"/>
      <c r="K9" s="28">
        <f>0.1/8*4.5</f>
        <v>5.6250000000000001E-2</v>
      </c>
      <c r="L9" s="26"/>
      <c r="M9" s="57">
        <f>3.54/8*4.5</f>
        <v>1.99125</v>
      </c>
    </row>
    <row r="10" spans="1:15" x14ac:dyDescent="0.2">
      <c r="A10" s="2" t="s">
        <v>109</v>
      </c>
      <c r="B10" s="2" t="s">
        <v>205</v>
      </c>
      <c r="C10" s="2" t="s">
        <v>206</v>
      </c>
      <c r="D10" s="2">
        <v>4</v>
      </c>
      <c r="E10" s="2" t="s">
        <v>167</v>
      </c>
      <c r="F10" s="2" t="s">
        <v>2</v>
      </c>
      <c r="G10" s="3">
        <v>55.98</v>
      </c>
      <c r="H10" s="2" t="s">
        <v>330</v>
      </c>
      <c r="I10" s="42">
        <f>$G$10/8*1.2</f>
        <v>8.3969999999999985</v>
      </c>
      <c r="J10" s="2" t="s">
        <v>42</v>
      </c>
      <c r="K10" s="4">
        <f>0.41/8*1.2</f>
        <v>6.1499999999999992E-2</v>
      </c>
      <c r="L10" s="2" t="s">
        <v>43</v>
      </c>
      <c r="M10" s="56">
        <f>3.33/8*1.2</f>
        <v>0.4995</v>
      </c>
      <c r="O10" s="5"/>
    </row>
    <row r="11" spans="1:15" x14ac:dyDescent="0.2">
      <c r="A11" s="2" t="s">
        <v>123</v>
      </c>
      <c r="B11" s="2" t="s">
        <v>207</v>
      </c>
      <c r="C11" s="2" t="s">
        <v>208</v>
      </c>
      <c r="D11" s="2">
        <v>4</v>
      </c>
      <c r="E11" s="2" t="s">
        <v>167</v>
      </c>
      <c r="F11" s="2"/>
      <c r="G11" s="2"/>
      <c r="H11" s="2" t="s">
        <v>3</v>
      </c>
      <c r="I11" s="42">
        <f>$G$10/8*1.5</f>
        <v>10.49625</v>
      </c>
      <c r="J11" s="2"/>
      <c r="K11" s="4">
        <f>0.41/8*1.5</f>
        <v>7.6874999999999999E-2</v>
      </c>
      <c r="L11" s="2"/>
      <c r="M11" s="56">
        <f>3.33/8*1.5</f>
        <v>0.62437500000000001</v>
      </c>
    </row>
    <row r="12" spans="1:15" ht="17" thickBot="1" x14ac:dyDescent="0.25">
      <c r="A12" s="26"/>
      <c r="B12" s="26"/>
      <c r="C12" s="26"/>
      <c r="D12" s="26"/>
      <c r="E12" s="26"/>
      <c r="F12" s="26"/>
      <c r="G12" s="26"/>
      <c r="H12" s="26" t="s">
        <v>331</v>
      </c>
      <c r="I12" s="43">
        <f>$G$10/8*2.1</f>
        <v>14.694749999999999</v>
      </c>
      <c r="J12" s="26"/>
      <c r="K12" s="28">
        <f>0.41/8*2.1</f>
        <v>0.107625</v>
      </c>
      <c r="L12" s="26"/>
      <c r="M12" s="57">
        <f>3.33/8*2.1</f>
        <v>0.87412500000000004</v>
      </c>
    </row>
    <row r="13" spans="1:15" x14ac:dyDescent="0.2">
      <c r="A13" s="2" t="s">
        <v>170</v>
      </c>
      <c r="B13" s="2" t="s">
        <v>209</v>
      </c>
      <c r="C13" s="2" t="s">
        <v>210</v>
      </c>
      <c r="D13" s="2">
        <v>4</v>
      </c>
      <c r="E13" s="2" t="s">
        <v>167</v>
      </c>
      <c r="F13" s="2" t="s">
        <v>2</v>
      </c>
      <c r="G13" s="3">
        <v>0</v>
      </c>
      <c r="H13" s="2" t="s">
        <v>25</v>
      </c>
      <c r="I13" s="42">
        <f>$G$13/128*12</f>
        <v>0</v>
      </c>
      <c r="J13" s="2" t="s">
        <v>42</v>
      </c>
      <c r="K13" s="4">
        <f>0.667/128*12</f>
        <v>6.253125000000001E-2</v>
      </c>
      <c r="L13" s="2" t="s">
        <v>171</v>
      </c>
      <c r="M13" s="56">
        <f>0.067/128*12</f>
        <v>6.2812500000000004E-3</v>
      </c>
    </row>
    <row r="14" spans="1:15" x14ac:dyDescent="0.2">
      <c r="A14" s="2"/>
      <c r="B14" s="2" t="s">
        <v>211</v>
      </c>
      <c r="C14" s="2" t="s">
        <v>212</v>
      </c>
      <c r="D14" s="2">
        <v>4</v>
      </c>
      <c r="E14" s="2" t="s">
        <v>167</v>
      </c>
      <c r="F14" s="2"/>
      <c r="G14" s="2"/>
      <c r="H14" s="2" t="s">
        <v>59</v>
      </c>
      <c r="I14" s="42">
        <f>$G$13/128*16</f>
        <v>0</v>
      </c>
      <c r="J14" s="2"/>
      <c r="K14" s="4">
        <f>0.667/128*16</f>
        <v>8.3375000000000005E-2</v>
      </c>
      <c r="L14" s="2"/>
      <c r="M14" s="56">
        <f>0.067/128*20</f>
        <v>1.0468750000000001E-2</v>
      </c>
    </row>
    <row r="15" spans="1:15" ht="17" thickBot="1" x14ac:dyDescent="0.25">
      <c r="A15" s="26"/>
      <c r="B15" s="26"/>
      <c r="C15" s="26"/>
      <c r="D15" s="26"/>
      <c r="E15" s="26"/>
      <c r="F15" s="26"/>
      <c r="G15" s="26"/>
      <c r="H15" s="26" t="s">
        <v>54</v>
      </c>
      <c r="I15" s="43">
        <f>$G$13/128*20</f>
        <v>0</v>
      </c>
      <c r="J15" s="26"/>
      <c r="K15" s="28">
        <f>0.667/128*20</f>
        <v>0.10421875</v>
      </c>
      <c r="L15" s="26"/>
      <c r="M15" s="57">
        <f>0.067/128*20</f>
        <v>1.0468750000000001E-2</v>
      </c>
    </row>
    <row r="16" spans="1:15" x14ac:dyDescent="0.2">
      <c r="A16" s="2" t="s">
        <v>110</v>
      </c>
      <c r="B16" s="2" t="s">
        <v>213</v>
      </c>
      <c r="C16" s="2" t="s">
        <v>214</v>
      </c>
      <c r="D16" s="2">
        <v>4</v>
      </c>
      <c r="E16" s="2" t="s">
        <v>167</v>
      </c>
      <c r="F16" s="2" t="s">
        <v>11</v>
      </c>
      <c r="G16" s="3">
        <v>0</v>
      </c>
      <c r="H16" s="2" t="s">
        <v>35</v>
      </c>
      <c r="I16" s="42">
        <f>$G$16*1</f>
        <v>0</v>
      </c>
      <c r="J16" s="2" t="s">
        <v>42</v>
      </c>
      <c r="K16" s="4">
        <f>0.525/16*1</f>
        <v>3.2812500000000001E-2</v>
      </c>
      <c r="L16" s="2" t="s">
        <v>44</v>
      </c>
      <c r="M16" s="56">
        <f>0.0945/16*1</f>
        <v>5.90625E-3</v>
      </c>
    </row>
    <row r="17" spans="1:13" x14ac:dyDescent="0.2">
      <c r="A17" s="2"/>
      <c r="B17" s="2" t="s">
        <v>215</v>
      </c>
      <c r="C17" s="2" t="s">
        <v>216</v>
      </c>
      <c r="D17" s="2">
        <v>2</v>
      </c>
      <c r="E17" s="2" t="s">
        <v>166</v>
      </c>
      <c r="F17" s="2"/>
      <c r="G17" s="2"/>
      <c r="H17" s="2" t="s">
        <v>12</v>
      </c>
      <c r="I17" s="42">
        <f>$G$16*1.5</f>
        <v>0</v>
      </c>
      <c r="J17" s="2"/>
      <c r="K17" s="4">
        <f>0.525/16*1.5</f>
        <v>4.9218750000000006E-2</v>
      </c>
      <c r="L17" s="2"/>
      <c r="M17" s="56">
        <f>0.0945/16*1.5</f>
        <v>8.8593749999999992E-3</v>
      </c>
    </row>
    <row r="18" spans="1:13" x14ac:dyDescent="0.2">
      <c r="A18" s="2"/>
      <c r="B18" s="2"/>
      <c r="C18" s="2"/>
      <c r="D18" s="2"/>
      <c r="E18" s="2"/>
      <c r="F18" s="2"/>
      <c r="G18" s="2"/>
      <c r="H18" s="2" t="s">
        <v>13</v>
      </c>
      <c r="I18" s="42">
        <f>$G$16*2</f>
        <v>0</v>
      </c>
      <c r="J18" s="2"/>
      <c r="K18" s="4">
        <f>0.525/16*2</f>
        <v>6.5625000000000003E-2</v>
      </c>
      <c r="L18" s="2"/>
      <c r="M18" s="56">
        <f>0.0945/16*2</f>
        <v>1.18125E-2</v>
      </c>
    </row>
    <row r="19" spans="1:13" x14ac:dyDescent="0.2">
      <c r="A19" s="2"/>
      <c r="B19" s="2"/>
      <c r="C19" s="2"/>
      <c r="D19" s="2"/>
      <c r="E19" s="2"/>
      <c r="F19" s="2"/>
      <c r="G19" s="2"/>
      <c r="H19" s="2" t="s">
        <v>14</v>
      </c>
      <c r="I19" s="42">
        <f>$G$16*2.5</f>
        <v>0</v>
      </c>
      <c r="J19" s="2"/>
      <c r="K19" s="4">
        <f>0.525/16*2.5</f>
        <v>8.203125E-2</v>
      </c>
      <c r="L19" s="2"/>
      <c r="M19" s="56">
        <f>0.0945/16*2.5</f>
        <v>1.4765625000000001E-2</v>
      </c>
    </row>
    <row r="20" spans="1:13" x14ac:dyDescent="0.2">
      <c r="A20" s="2"/>
      <c r="B20" s="2"/>
      <c r="C20" s="2"/>
      <c r="D20" s="2"/>
      <c r="E20" s="2"/>
      <c r="F20" s="2"/>
      <c r="G20" s="2"/>
      <c r="H20" s="2" t="s">
        <v>15</v>
      </c>
      <c r="I20" s="42">
        <f>$G$16*3</f>
        <v>0</v>
      </c>
      <c r="J20" s="2"/>
      <c r="K20" s="4">
        <f>0.525/16*3</f>
        <v>9.8437500000000011E-2</v>
      </c>
      <c r="L20" s="2"/>
      <c r="M20" s="56">
        <f>0.0945/16*3</f>
        <v>1.7718749999999998E-2</v>
      </c>
    </row>
    <row r="21" spans="1:13" ht="17" thickBot="1" x14ac:dyDescent="0.25">
      <c r="A21" s="26"/>
      <c r="B21" s="26"/>
      <c r="C21" s="26"/>
      <c r="D21" s="26"/>
      <c r="E21" s="26"/>
      <c r="F21" s="26"/>
      <c r="G21" s="26"/>
      <c r="H21" s="26" t="s">
        <v>16</v>
      </c>
      <c r="I21" s="43">
        <f>$G$16*3.3</f>
        <v>0</v>
      </c>
      <c r="J21" s="26"/>
      <c r="K21" s="28">
        <f>0.525/16*3.3</f>
        <v>0.10828125</v>
      </c>
      <c r="L21" s="26"/>
      <c r="M21" s="57">
        <f>0.0945/16*3.3</f>
        <v>1.9490624999999998E-2</v>
      </c>
    </row>
    <row r="22" spans="1:13" x14ac:dyDescent="0.2">
      <c r="A22" s="2" t="s">
        <v>111</v>
      </c>
      <c r="B22" s="2" t="s">
        <v>217</v>
      </c>
      <c r="C22" s="2" t="s">
        <v>218</v>
      </c>
      <c r="D22" s="2">
        <v>4</v>
      </c>
      <c r="E22" s="2" t="s">
        <v>167</v>
      </c>
      <c r="F22" s="2" t="s">
        <v>2</v>
      </c>
      <c r="G22" s="3">
        <v>0</v>
      </c>
      <c r="H22" s="2" t="s">
        <v>21</v>
      </c>
      <c r="I22" s="42">
        <f>$G$22/8*0.75</f>
        <v>0</v>
      </c>
      <c r="J22" s="2" t="s">
        <v>42</v>
      </c>
      <c r="K22" s="4">
        <f>0.5/8*0.75</f>
        <v>4.6875E-2</v>
      </c>
      <c r="L22" s="2" t="s">
        <v>78</v>
      </c>
      <c r="M22" s="56">
        <f>2.3/8*0.75</f>
        <v>0.21562499999999998</v>
      </c>
    </row>
    <row r="23" spans="1:13" x14ac:dyDescent="0.2">
      <c r="A23" s="2"/>
      <c r="B23" s="2" t="s">
        <v>219</v>
      </c>
      <c r="C23" s="2" t="s">
        <v>220</v>
      </c>
      <c r="D23" s="2">
        <v>4</v>
      </c>
      <c r="E23" s="2" t="s">
        <v>167</v>
      </c>
      <c r="F23" s="2"/>
      <c r="G23" s="2"/>
      <c r="H23" s="2" t="s">
        <v>22</v>
      </c>
      <c r="I23" s="42">
        <f>$G$22/8*1</f>
        <v>0</v>
      </c>
      <c r="J23" s="2"/>
      <c r="K23" s="4">
        <f>0.5/8*1</f>
        <v>6.25E-2</v>
      </c>
      <c r="L23" s="2"/>
      <c r="M23" s="56">
        <f>2.3/8*1</f>
        <v>0.28749999999999998</v>
      </c>
    </row>
    <row r="24" spans="1:13" x14ac:dyDescent="0.2">
      <c r="A24" s="2"/>
      <c r="B24" s="2"/>
      <c r="C24" s="2"/>
      <c r="D24" s="2"/>
      <c r="E24" s="2"/>
      <c r="F24" s="2"/>
      <c r="G24" s="2"/>
      <c r="H24" s="2" t="s">
        <v>76</v>
      </c>
      <c r="I24" s="42">
        <f>$G$22/8*1.25</f>
        <v>0</v>
      </c>
      <c r="J24" s="2"/>
      <c r="K24" s="4">
        <f>0.5/8*1.25</f>
        <v>7.8125E-2</v>
      </c>
      <c r="L24" s="2"/>
      <c r="M24" s="56">
        <f>2.3/8*1.25</f>
        <v>0.359375</v>
      </c>
    </row>
    <row r="25" spans="1:13" x14ac:dyDescent="0.2">
      <c r="A25" s="2"/>
      <c r="B25" s="2"/>
      <c r="C25" s="2"/>
      <c r="D25" s="2"/>
      <c r="E25" s="2"/>
      <c r="F25" s="2"/>
      <c r="G25" s="2"/>
      <c r="H25" s="2" t="s">
        <v>3</v>
      </c>
      <c r="I25" s="42">
        <f>$G$22/8*1.5</f>
        <v>0</v>
      </c>
      <c r="J25" s="2"/>
      <c r="K25" s="4">
        <f>0.5/8*1.5</f>
        <v>9.375E-2</v>
      </c>
      <c r="L25" s="2"/>
      <c r="M25" s="56">
        <f>2.3/8*1.5</f>
        <v>0.43124999999999997</v>
      </c>
    </row>
    <row r="26" spans="1:13" ht="17" thickBot="1" x14ac:dyDescent="0.25">
      <c r="A26" s="26"/>
      <c r="B26" s="26"/>
      <c r="C26" s="26"/>
      <c r="D26" s="26"/>
      <c r="E26" s="26"/>
      <c r="F26" s="26"/>
      <c r="G26" s="26"/>
      <c r="H26" s="26" t="s">
        <v>77</v>
      </c>
      <c r="I26" s="43">
        <f>$G$22/8*1.75</f>
        <v>0</v>
      </c>
      <c r="J26" s="26"/>
      <c r="K26" s="28">
        <f>0.5/8*1.75</f>
        <v>0.109375</v>
      </c>
      <c r="L26" s="26"/>
      <c r="M26" s="57">
        <f>2.3/8*1.75</f>
        <v>0.50312499999999993</v>
      </c>
    </row>
    <row r="27" spans="1:13" x14ac:dyDescent="0.2">
      <c r="A27" s="5" t="s">
        <v>310</v>
      </c>
      <c r="B27" s="5" t="s">
        <v>221</v>
      </c>
      <c r="C27" s="5" t="s">
        <v>329</v>
      </c>
      <c r="D27" s="5">
        <v>4</v>
      </c>
      <c r="E27" s="5" t="s">
        <v>167</v>
      </c>
      <c r="F27" s="5" t="s">
        <v>2</v>
      </c>
      <c r="G27" s="12">
        <v>0</v>
      </c>
      <c r="H27" s="19" t="s">
        <v>121</v>
      </c>
      <c r="I27" s="44">
        <f>$G$27/8*0.33</f>
        <v>0</v>
      </c>
      <c r="J27" s="5" t="s">
        <v>78</v>
      </c>
      <c r="K27" s="7">
        <f>3/8*0.33</f>
        <v>0.12375</v>
      </c>
      <c r="L27" s="5" t="s">
        <v>45</v>
      </c>
      <c r="M27" s="58" t="s">
        <v>45</v>
      </c>
    </row>
    <row r="28" spans="1:13" x14ac:dyDescent="0.2">
      <c r="A28" s="5" t="s">
        <v>123</v>
      </c>
      <c r="H28" s="5" t="s">
        <v>145</v>
      </c>
      <c r="I28" s="44">
        <f>$G$27/8*1</f>
        <v>0</v>
      </c>
      <c r="K28" s="7">
        <f>3/8*1</f>
        <v>0.375</v>
      </c>
      <c r="M28" s="58" t="s">
        <v>45</v>
      </c>
    </row>
    <row r="29" spans="1:13" ht="17" thickBot="1" x14ac:dyDescent="0.25">
      <c r="A29" s="29"/>
      <c r="B29" s="29"/>
      <c r="C29" s="29"/>
      <c r="D29" s="29"/>
      <c r="E29" s="29"/>
      <c r="F29" s="29"/>
      <c r="G29" s="29"/>
      <c r="H29" s="29" t="s">
        <v>122</v>
      </c>
      <c r="I29" s="45">
        <f>$G$27/8*1.33</f>
        <v>0</v>
      </c>
      <c r="J29" s="29"/>
      <c r="K29" s="30">
        <f>3/8*1.33</f>
        <v>0.49875000000000003</v>
      </c>
      <c r="L29" s="29"/>
      <c r="M29" s="59" t="s">
        <v>45</v>
      </c>
    </row>
    <row r="30" spans="1:13" x14ac:dyDescent="0.2">
      <c r="A30" s="5" t="s">
        <v>112</v>
      </c>
      <c r="B30" s="5" t="s">
        <v>222</v>
      </c>
      <c r="C30" s="5" t="s">
        <v>223</v>
      </c>
      <c r="D30" s="5">
        <v>4</v>
      </c>
      <c r="E30" s="5" t="s">
        <v>167</v>
      </c>
      <c r="F30" s="5" t="s">
        <v>2</v>
      </c>
      <c r="G30" s="12">
        <v>0</v>
      </c>
      <c r="H30" s="5" t="s">
        <v>9</v>
      </c>
      <c r="I30" s="44">
        <f>$G$30/128*6</f>
        <v>0</v>
      </c>
      <c r="J30" s="5" t="s">
        <v>62</v>
      </c>
      <c r="K30" s="7">
        <f>2.8/128*6</f>
        <v>0.13124999999999998</v>
      </c>
      <c r="L30" s="5" t="s">
        <v>45</v>
      </c>
      <c r="M30" s="58" t="s">
        <v>45</v>
      </c>
    </row>
    <row r="31" spans="1:13" x14ac:dyDescent="0.2">
      <c r="H31" s="5" t="s">
        <v>25</v>
      </c>
      <c r="I31" s="44">
        <f>$G$30/128*12</f>
        <v>0</v>
      </c>
      <c r="K31" s="7">
        <f>2.8/128*12</f>
        <v>0.26249999999999996</v>
      </c>
      <c r="M31" s="58" t="s">
        <v>45</v>
      </c>
    </row>
    <row r="32" spans="1:13" ht="17" thickBot="1" x14ac:dyDescent="0.25">
      <c r="A32" s="29"/>
      <c r="B32" s="29"/>
      <c r="C32" s="29"/>
      <c r="D32" s="29"/>
      <c r="E32" s="29"/>
      <c r="F32" s="29"/>
      <c r="G32" s="29"/>
      <c r="H32" s="29" t="s">
        <v>26</v>
      </c>
      <c r="I32" s="45">
        <f>$G$30/128*22</f>
        <v>0</v>
      </c>
      <c r="J32" s="29"/>
      <c r="K32" s="30">
        <f>2.8/128*22</f>
        <v>0.48124999999999996</v>
      </c>
      <c r="L32" s="29"/>
      <c r="M32" s="59" t="s">
        <v>45</v>
      </c>
    </row>
    <row r="33" spans="1:13" x14ac:dyDescent="0.2">
      <c r="A33" s="8" t="s">
        <v>113</v>
      </c>
      <c r="B33" s="8" t="s">
        <v>224</v>
      </c>
      <c r="C33" s="8" t="s">
        <v>225</v>
      </c>
      <c r="D33" s="8">
        <v>4</v>
      </c>
      <c r="E33" s="8" t="s">
        <v>167</v>
      </c>
      <c r="F33" s="8" t="s">
        <v>2</v>
      </c>
      <c r="G33" s="20">
        <v>0</v>
      </c>
      <c r="H33" s="8" t="s">
        <v>20</v>
      </c>
      <c r="I33" s="46">
        <f>$G$33/8*0.5</f>
        <v>0</v>
      </c>
      <c r="J33" s="8" t="s">
        <v>65</v>
      </c>
      <c r="K33" s="9">
        <f>2/8*0.5</f>
        <v>0.125</v>
      </c>
      <c r="L33" s="8" t="s">
        <v>45</v>
      </c>
      <c r="M33" s="60" t="s">
        <v>45</v>
      </c>
    </row>
    <row r="34" spans="1:13" x14ac:dyDescent="0.2">
      <c r="A34" s="8" t="s">
        <v>123</v>
      </c>
      <c r="B34" s="8"/>
      <c r="C34" s="8"/>
      <c r="D34" s="8"/>
      <c r="E34" s="8"/>
      <c r="F34" s="8"/>
      <c r="G34" s="8"/>
      <c r="H34" s="8" t="s">
        <v>21</v>
      </c>
      <c r="I34" s="46">
        <f>$G$33/8*0.75</f>
        <v>0</v>
      </c>
      <c r="J34" s="8"/>
      <c r="K34" s="9">
        <f>2/8*0.75</f>
        <v>0.1875</v>
      </c>
      <c r="L34" s="8"/>
      <c r="M34" s="60" t="s">
        <v>45</v>
      </c>
    </row>
    <row r="35" spans="1:13" x14ac:dyDescent="0.2">
      <c r="A35" s="8"/>
      <c r="B35" s="8"/>
      <c r="C35" s="8"/>
      <c r="D35" s="8"/>
      <c r="E35" s="8"/>
      <c r="F35" s="8"/>
      <c r="G35" s="8"/>
      <c r="H35" s="8" t="s">
        <v>22</v>
      </c>
      <c r="I35" s="46">
        <f>$G$33/8*1</f>
        <v>0</v>
      </c>
      <c r="J35" s="8"/>
      <c r="K35" s="9">
        <f>2/8*1</f>
        <v>0.25</v>
      </c>
      <c r="L35" s="8"/>
      <c r="M35" s="60" t="s">
        <v>45</v>
      </c>
    </row>
    <row r="36" spans="1:13" x14ac:dyDescent="0.2">
      <c r="A36" s="8"/>
      <c r="B36" s="8"/>
      <c r="C36" s="8"/>
      <c r="D36" s="8"/>
      <c r="E36" s="8"/>
      <c r="F36" s="8"/>
      <c r="G36" s="8"/>
      <c r="H36" s="8" t="s">
        <v>4</v>
      </c>
      <c r="I36" s="46">
        <f>$G$33/8*2</f>
        <v>0</v>
      </c>
      <c r="J36" s="8"/>
      <c r="K36" s="9">
        <f>2/8*2</f>
        <v>0.5</v>
      </c>
      <c r="L36" s="8"/>
      <c r="M36" s="60" t="s">
        <v>45</v>
      </c>
    </row>
    <row r="37" spans="1:13" ht="17" thickBot="1" x14ac:dyDescent="0.25">
      <c r="A37" s="31"/>
      <c r="B37" s="31"/>
      <c r="C37" s="31"/>
      <c r="D37" s="31"/>
      <c r="E37" s="31"/>
      <c r="F37" s="31"/>
      <c r="G37" s="31"/>
      <c r="H37" s="31" t="s">
        <v>23</v>
      </c>
      <c r="I37" s="47">
        <f>$G$33/8*4</f>
        <v>0</v>
      </c>
      <c r="J37" s="31"/>
      <c r="K37" s="32">
        <f>2/8*4</f>
        <v>1</v>
      </c>
      <c r="L37" s="31"/>
      <c r="M37" s="61" t="s">
        <v>45</v>
      </c>
    </row>
    <row r="38" spans="1:13" x14ac:dyDescent="0.2">
      <c r="A38" s="8" t="s">
        <v>390</v>
      </c>
      <c r="B38" s="8" t="s">
        <v>230</v>
      </c>
      <c r="C38" s="8" t="s">
        <v>231</v>
      </c>
      <c r="D38" s="8">
        <v>4</v>
      </c>
      <c r="E38" s="8" t="s">
        <v>167</v>
      </c>
      <c r="F38" s="8" t="s">
        <v>2</v>
      </c>
      <c r="G38" s="20">
        <v>0</v>
      </c>
      <c r="H38" s="8" t="s">
        <v>89</v>
      </c>
      <c r="I38" s="46">
        <f>$G$38/8*0.67</f>
        <v>0</v>
      </c>
      <c r="J38" s="21" t="s">
        <v>65</v>
      </c>
      <c r="K38" s="9">
        <f>0.81/8*0.67</f>
        <v>6.7837500000000009E-2</v>
      </c>
      <c r="L38" s="8" t="s">
        <v>43</v>
      </c>
      <c r="M38" s="60">
        <f>3/8*0.67</f>
        <v>0.25125000000000003</v>
      </c>
    </row>
    <row r="39" spans="1:13" x14ac:dyDescent="0.2">
      <c r="A39" s="8"/>
      <c r="B39" s="8" t="s">
        <v>232</v>
      </c>
      <c r="C39" s="8" t="s">
        <v>233</v>
      </c>
      <c r="D39" s="8">
        <v>4</v>
      </c>
      <c r="E39" s="8" t="s">
        <v>167</v>
      </c>
      <c r="F39" s="8"/>
      <c r="G39" s="8"/>
      <c r="H39" s="8" t="s">
        <v>17</v>
      </c>
      <c r="I39" s="46">
        <f>$G$38/8*1</f>
        <v>0</v>
      </c>
      <c r="J39" s="8"/>
      <c r="K39" s="9">
        <f>0.81/8*1</f>
        <v>0.10125000000000001</v>
      </c>
      <c r="L39" s="8"/>
      <c r="M39" s="60">
        <f>3/8*1</f>
        <v>0.375</v>
      </c>
    </row>
    <row r="40" spans="1:13" x14ac:dyDescent="0.2">
      <c r="A40" s="8"/>
      <c r="B40" s="8"/>
      <c r="C40" s="8"/>
      <c r="D40" s="8"/>
      <c r="E40" s="8"/>
      <c r="F40" s="8"/>
      <c r="G40" s="8"/>
      <c r="H40" s="8" t="s">
        <v>18</v>
      </c>
      <c r="I40" s="46">
        <f>$G$38/8*2</f>
        <v>0</v>
      </c>
      <c r="J40" s="8"/>
      <c r="K40" s="9">
        <f>0.81/8*2</f>
        <v>0.20250000000000001</v>
      </c>
      <c r="L40" s="8"/>
      <c r="M40" s="60">
        <f>3/8*2</f>
        <v>0.75</v>
      </c>
    </row>
    <row r="41" spans="1:13" ht="17" thickBot="1" x14ac:dyDescent="0.25">
      <c r="A41" s="31"/>
      <c r="B41" s="31"/>
      <c r="C41" s="31"/>
      <c r="D41" s="31"/>
      <c r="E41" s="31"/>
      <c r="F41" s="31"/>
      <c r="G41" s="31"/>
      <c r="H41" s="31" t="s">
        <v>90</v>
      </c>
      <c r="I41" s="47">
        <f>$G$38/8*5</f>
        <v>0</v>
      </c>
      <c r="J41" s="31"/>
      <c r="K41" s="32">
        <f>0.81/8*5</f>
        <v>0.50625000000000009</v>
      </c>
      <c r="L41" s="31"/>
      <c r="M41" s="61">
        <f>3/8*5</f>
        <v>1.875</v>
      </c>
    </row>
    <row r="42" spans="1:13" x14ac:dyDescent="0.2">
      <c r="A42" s="8" t="s">
        <v>114</v>
      </c>
      <c r="B42" s="8" t="s">
        <v>234</v>
      </c>
      <c r="C42" s="8" t="s">
        <v>235</v>
      </c>
      <c r="D42" s="8">
        <v>4</v>
      </c>
      <c r="E42" s="8" t="s">
        <v>167</v>
      </c>
      <c r="F42" s="8" t="s">
        <v>2</v>
      </c>
      <c r="G42" s="20">
        <v>0</v>
      </c>
      <c r="H42" s="8" t="s">
        <v>3</v>
      </c>
      <c r="I42" s="46">
        <f>$G$42/8*1.5</f>
        <v>0</v>
      </c>
      <c r="J42" s="21" t="s">
        <v>65</v>
      </c>
      <c r="K42" s="9">
        <f>0.67/8*1.5</f>
        <v>0.12562500000000001</v>
      </c>
      <c r="L42" s="8" t="s">
        <v>62</v>
      </c>
      <c r="M42" s="60">
        <f>0.67/8*1.5</f>
        <v>0.12562500000000001</v>
      </c>
    </row>
    <row r="43" spans="1:13" x14ac:dyDescent="0.2">
      <c r="A43" s="8" t="s">
        <v>123</v>
      </c>
      <c r="B43" s="8" t="s">
        <v>236</v>
      </c>
      <c r="C43" s="8" t="s">
        <v>237</v>
      </c>
      <c r="D43" s="8">
        <v>4</v>
      </c>
      <c r="E43" s="8" t="s">
        <v>167</v>
      </c>
      <c r="F43" s="8"/>
      <c r="G43" s="8"/>
      <c r="H43" s="8" t="s">
        <v>4</v>
      </c>
      <c r="I43" s="46">
        <f>$G$42/8*2</f>
        <v>0</v>
      </c>
      <c r="J43" s="8"/>
      <c r="K43" s="9">
        <f>0.67/8*2</f>
        <v>0.16750000000000001</v>
      </c>
      <c r="L43" s="8"/>
      <c r="M43" s="60">
        <f>0.67/8*2</f>
        <v>0.16750000000000001</v>
      </c>
    </row>
    <row r="44" spans="1:13" ht="17" thickBot="1" x14ac:dyDescent="0.25">
      <c r="A44" s="31"/>
      <c r="B44" s="31"/>
      <c r="C44" s="31"/>
      <c r="D44" s="31"/>
      <c r="E44" s="31"/>
      <c r="F44" s="31"/>
      <c r="G44" s="31"/>
      <c r="H44" s="31" t="s">
        <v>24</v>
      </c>
      <c r="I44" s="47">
        <f>$G$42/8*2.5</f>
        <v>0</v>
      </c>
      <c r="J44" s="31"/>
      <c r="K44" s="32">
        <f>0.67/8*2.5</f>
        <v>0.20937500000000001</v>
      </c>
      <c r="L44" s="31"/>
      <c r="M44" s="61">
        <f>0.67/8*2.5</f>
        <v>0.20937500000000001</v>
      </c>
    </row>
    <row r="45" spans="1:13" x14ac:dyDescent="0.2">
      <c r="A45" s="8" t="s">
        <v>387</v>
      </c>
      <c r="B45" s="8" t="s">
        <v>226</v>
      </c>
      <c r="C45" s="8" t="s">
        <v>227</v>
      </c>
      <c r="D45" s="8">
        <v>4</v>
      </c>
      <c r="E45" s="8" t="s">
        <v>167</v>
      </c>
      <c r="F45" s="8" t="s">
        <v>2</v>
      </c>
      <c r="G45" s="20">
        <v>0</v>
      </c>
      <c r="H45" s="8" t="s">
        <v>17</v>
      </c>
      <c r="I45" s="46">
        <f>$G$45/8*1</f>
        <v>0</v>
      </c>
      <c r="J45" s="21" t="s">
        <v>65</v>
      </c>
      <c r="K45" s="9">
        <f>0.54/8*1</f>
        <v>6.7500000000000004E-2</v>
      </c>
      <c r="L45" s="8" t="s">
        <v>43</v>
      </c>
      <c r="M45" s="60">
        <f>2/8*1</f>
        <v>0.25</v>
      </c>
    </row>
    <row r="46" spans="1:13" x14ac:dyDescent="0.2">
      <c r="A46" s="8" t="s">
        <v>123</v>
      </c>
      <c r="B46" s="8" t="s">
        <v>228</v>
      </c>
      <c r="C46" s="8" t="s">
        <v>229</v>
      </c>
      <c r="D46" s="8">
        <v>4</v>
      </c>
      <c r="E46" s="8" t="s">
        <v>167</v>
      </c>
      <c r="F46" s="8"/>
      <c r="G46" s="8"/>
      <c r="H46" s="8" t="s">
        <v>18</v>
      </c>
      <c r="I46" s="46">
        <f>$G$45/8*2</f>
        <v>0</v>
      </c>
      <c r="J46" s="8"/>
      <c r="K46" s="9">
        <f>0.54/8*2</f>
        <v>0.13500000000000001</v>
      </c>
      <c r="L46" s="8"/>
      <c r="M46" s="60">
        <f>2/8*2</f>
        <v>0.5</v>
      </c>
    </row>
    <row r="47" spans="1:13" x14ac:dyDescent="0.2">
      <c r="A47" s="8"/>
      <c r="B47" s="8"/>
      <c r="C47" s="8"/>
      <c r="D47" s="8"/>
      <c r="E47" s="8"/>
      <c r="F47" s="8"/>
      <c r="G47" s="8"/>
      <c r="H47" s="8" t="s">
        <v>39</v>
      </c>
      <c r="I47" s="46">
        <f>$G$45/8*3</f>
        <v>0</v>
      </c>
      <c r="J47" s="8"/>
      <c r="K47" s="9">
        <f>0.54/8*3</f>
        <v>0.20250000000000001</v>
      </c>
      <c r="L47" s="8"/>
      <c r="M47" s="60">
        <f>2/8*3</f>
        <v>0.75</v>
      </c>
    </row>
    <row r="48" spans="1:13" ht="17" thickBot="1" x14ac:dyDescent="0.25">
      <c r="A48" s="31"/>
      <c r="B48" s="31"/>
      <c r="C48" s="31"/>
      <c r="D48" s="31"/>
      <c r="E48" s="31"/>
      <c r="F48" s="31"/>
      <c r="G48" s="31"/>
      <c r="H48" s="31" t="s">
        <v>19</v>
      </c>
      <c r="I48" s="47">
        <f>$G$45/8*4</f>
        <v>0</v>
      </c>
      <c r="J48" s="31"/>
      <c r="K48" s="32">
        <f>0.54/8*4</f>
        <v>0.27</v>
      </c>
      <c r="L48" s="31"/>
      <c r="M48" s="61">
        <f>2/8*4</f>
        <v>1</v>
      </c>
    </row>
    <row r="49" spans="1:13" x14ac:dyDescent="0.2">
      <c r="A49" s="10" t="s">
        <v>115</v>
      </c>
      <c r="B49" s="10" t="s">
        <v>238</v>
      </c>
      <c r="C49" s="10" t="s">
        <v>239</v>
      </c>
      <c r="D49" s="10">
        <v>4</v>
      </c>
      <c r="E49" s="10" t="s">
        <v>167</v>
      </c>
      <c r="F49" s="10" t="s">
        <v>2</v>
      </c>
      <c r="G49" s="22">
        <v>0</v>
      </c>
      <c r="H49" s="10" t="s">
        <v>20</v>
      </c>
      <c r="I49" s="48">
        <f>$G$49/8*0.5</f>
        <v>0</v>
      </c>
      <c r="J49" s="10" t="s">
        <v>66</v>
      </c>
      <c r="K49" s="11">
        <f>4/8*0.5</f>
        <v>0.25</v>
      </c>
      <c r="L49" s="10" t="s">
        <v>45</v>
      </c>
      <c r="M49" s="62" t="s">
        <v>45</v>
      </c>
    </row>
    <row r="50" spans="1:13" x14ac:dyDescent="0.2">
      <c r="A50" s="10"/>
      <c r="B50" s="10"/>
      <c r="C50" s="10"/>
      <c r="D50" s="10"/>
      <c r="E50" s="10"/>
      <c r="F50" s="10"/>
      <c r="G50" s="10"/>
      <c r="H50" s="10" t="s">
        <v>17</v>
      </c>
      <c r="I50" s="48">
        <f>$G$49/8*1</f>
        <v>0</v>
      </c>
      <c r="J50" s="10"/>
      <c r="K50" s="11">
        <f>4/8*1</f>
        <v>0.5</v>
      </c>
      <c r="L50" s="10"/>
      <c r="M50" s="62" t="s">
        <v>45</v>
      </c>
    </row>
    <row r="51" spans="1:13" ht="17" thickBot="1" x14ac:dyDescent="0.25">
      <c r="A51" s="33"/>
      <c r="B51" s="33"/>
      <c r="C51" s="33"/>
      <c r="D51" s="33"/>
      <c r="E51" s="33"/>
      <c r="F51" s="33"/>
      <c r="G51" s="33"/>
      <c r="H51" s="33" t="s">
        <v>18</v>
      </c>
      <c r="I51" s="49">
        <f>$G$49/8*2</f>
        <v>0</v>
      </c>
      <c r="J51" s="33"/>
      <c r="K51" s="34">
        <f>4/8*2</f>
        <v>1</v>
      </c>
      <c r="L51" s="33"/>
      <c r="M51" s="63" t="s">
        <v>45</v>
      </c>
    </row>
    <row r="52" spans="1:13" x14ac:dyDescent="0.2">
      <c r="A52" s="10" t="s">
        <v>116</v>
      </c>
      <c r="B52" s="10" t="s">
        <v>240</v>
      </c>
      <c r="C52" s="10" t="s">
        <v>241</v>
      </c>
      <c r="D52" s="10">
        <v>4</v>
      </c>
      <c r="E52" s="10" t="s">
        <v>167</v>
      </c>
      <c r="F52" s="10" t="s">
        <v>2</v>
      </c>
      <c r="G52" s="22">
        <v>0</v>
      </c>
      <c r="H52" s="10" t="s">
        <v>70</v>
      </c>
      <c r="I52" s="48">
        <f>$G$52/4*1</f>
        <v>0</v>
      </c>
      <c r="J52" s="10" t="s">
        <v>66</v>
      </c>
      <c r="K52" s="11">
        <f>1/4*1</f>
        <v>0.25</v>
      </c>
      <c r="L52" s="10" t="s">
        <v>43</v>
      </c>
      <c r="M52" s="62">
        <f>2/4*1</f>
        <v>0.5</v>
      </c>
    </row>
    <row r="53" spans="1:13" x14ac:dyDescent="0.2">
      <c r="A53" s="10" t="s">
        <v>123</v>
      </c>
      <c r="B53" s="10" t="s">
        <v>242</v>
      </c>
      <c r="C53" s="10" t="s">
        <v>243</v>
      </c>
      <c r="D53" s="10">
        <v>4</v>
      </c>
      <c r="E53" s="10" t="s">
        <v>167</v>
      </c>
      <c r="F53" s="10"/>
      <c r="G53" s="10"/>
      <c r="H53" s="10" t="s">
        <v>71</v>
      </c>
      <c r="I53" s="48">
        <f>$G$52/4*2</f>
        <v>0</v>
      </c>
      <c r="J53" s="10"/>
      <c r="K53" s="11">
        <f>1/4*2</f>
        <v>0.5</v>
      </c>
      <c r="L53" s="10"/>
      <c r="M53" s="62">
        <f>2/4*2</f>
        <v>1</v>
      </c>
    </row>
    <row r="54" spans="1:13" x14ac:dyDescent="0.2">
      <c r="A54" s="10"/>
      <c r="B54" s="10"/>
      <c r="C54" s="10"/>
      <c r="D54" s="10"/>
      <c r="E54" s="10"/>
      <c r="F54" s="10"/>
      <c r="G54" s="10"/>
      <c r="H54" s="10" t="s">
        <v>72</v>
      </c>
      <c r="I54" s="48">
        <f>$G$52/4*3</f>
        <v>0</v>
      </c>
      <c r="J54" s="10"/>
      <c r="K54" s="11">
        <f>1/4*3</f>
        <v>0.75</v>
      </c>
      <c r="L54" s="10"/>
      <c r="M54" s="62">
        <f>2/4*3</f>
        <v>1.5</v>
      </c>
    </row>
    <row r="55" spans="1:13" ht="17" thickBot="1" x14ac:dyDescent="0.25">
      <c r="A55" s="33"/>
      <c r="B55" s="33"/>
      <c r="C55" s="33"/>
      <c r="D55" s="33"/>
      <c r="E55" s="33"/>
      <c r="F55" s="33"/>
      <c r="G55" s="33"/>
      <c r="H55" s="33" t="s">
        <v>73</v>
      </c>
      <c r="I55" s="49">
        <f>$G$52/4*4</f>
        <v>0</v>
      </c>
      <c r="J55" s="33"/>
      <c r="K55" s="34">
        <f>1/4*4</f>
        <v>1</v>
      </c>
      <c r="L55" s="33"/>
      <c r="M55" s="63">
        <f>2/4*4</f>
        <v>2</v>
      </c>
    </row>
    <row r="56" spans="1:13" x14ac:dyDescent="0.2">
      <c r="A56" s="10" t="s">
        <v>117</v>
      </c>
      <c r="B56" s="10" t="s">
        <v>244</v>
      </c>
      <c r="C56" s="10" t="s">
        <v>245</v>
      </c>
      <c r="D56" s="10">
        <v>4</v>
      </c>
      <c r="E56" s="10" t="s">
        <v>167</v>
      </c>
      <c r="F56" s="10" t="s">
        <v>2</v>
      </c>
      <c r="G56" s="22">
        <v>0</v>
      </c>
      <c r="H56" s="10" t="s">
        <v>21</v>
      </c>
      <c r="I56" s="48">
        <f>$G$56/8*0.75</f>
        <v>0</v>
      </c>
      <c r="J56" s="10" t="s">
        <v>66</v>
      </c>
      <c r="K56" s="11">
        <f>3/8*0.75</f>
        <v>0.28125</v>
      </c>
      <c r="L56" s="10" t="s">
        <v>62</v>
      </c>
      <c r="M56" s="62">
        <f>1/8*0.75</f>
        <v>9.375E-2</v>
      </c>
    </row>
    <row r="57" spans="1:13" x14ac:dyDescent="0.2">
      <c r="A57" s="10" t="s">
        <v>123</v>
      </c>
      <c r="B57" s="10" t="s">
        <v>246</v>
      </c>
      <c r="C57" s="10" t="s">
        <v>247</v>
      </c>
      <c r="D57" s="10">
        <v>4</v>
      </c>
      <c r="E57" s="10" t="s">
        <v>167</v>
      </c>
      <c r="F57" s="10"/>
      <c r="G57" s="10"/>
      <c r="H57" s="10" t="s">
        <v>22</v>
      </c>
      <c r="I57" s="48">
        <f>$G$56/8*1</f>
        <v>0</v>
      </c>
      <c r="J57" s="10"/>
      <c r="K57" s="11">
        <f>3/8*1</f>
        <v>0.375</v>
      </c>
      <c r="L57" s="10"/>
      <c r="M57" s="62">
        <f>1/8*1</f>
        <v>0.125</v>
      </c>
    </row>
    <row r="58" spans="1:13" ht="17" thickBot="1" x14ac:dyDescent="0.25">
      <c r="A58" s="33"/>
      <c r="B58" s="33"/>
      <c r="C58" s="33"/>
      <c r="D58" s="33"/>
      <c r="E58" s="33"/>
      <c r="F58" s="33"/>
      <c r="G58" s="33"/>
      <c r="H58" s="33" t="s">
        <v>3</v>
      </c>
      <c r="I58" s="49">
        <f>$G$56/8*1.5</f>
        <v>0</v>
      </c>
      <c r="J58" s="33"/>
      <c r="K58" s="34">
        <f>3/8*1.5</f>
        <v>0.5625</v>
      </c>
      <c r="L58" s="33"/>
      <c r="M58" s="63">
        <f>1/8*1.5</f>
        <v>0.1875</v>
      </c>
    </row>
    <row r="59" spans="1:13" x14ac:dyDescent="0.2">
      <c r="A59" s="5" t="s">
        <v>118</v>
      </c>
      <c r="B59" s="5" t="s">
        <v>248</v>
      </c>
      <c r="C59" s="5" t="s">
        <v>249</v>
      </c>
      <c r="D59" s="5">
        <v>4</v>
      </c>
      <c r="E59" s="5" t="s">
        <v>167</v>
      </c>
      <c r="F59" s="5" t="s">
        <v>2</v>
      </c>
      <c r="G59" s="12">
        <v>0</v>
      </c>
      <c r="H59" s="5" t="s">
        <v>20</v>
      </c>
      <c r="I59" s="44">
        <f>$G$59/8*0.5</f>
        <v>0</v>
      </c>
      <c r="J59" s="5" t="s">
        <v>61</v>
      </c>
      <c r="K59" s="7">
        <f>1/8*0.5</f>
        <v>6.25E-2</v>
      </c>
      <c r="L59" s="5" t="s">
        <v>43</v>
      </c>
      <c r="M59" s="58">
        <f>2.87/8*0.5</f>
        <v>0.17937500000000001</v>
      </c>
    </row>
    <row r="60" spans="1:13" x14ac:dyDescent="0.2">
      <c r="A60" s="5" t="s">
        <v>123</v>
      </c>
      <c r="B60" s="5" t="s">
        <v>250</v>
      </c>
      <c r="C60" s="5" t="s">
        <v>251</v>
      </c>
      <c r="D60" s="5">
        <v>4</v>
      </c>
      <c r="E60" s="5" t="s">
        <v>167</v>
      </c>
      <c r="H60" s="5" t="s">
        <v>22</v>
      </c>
      <c r="I60" s="44">
        <f>$G$59/8*1</f>
        <v>0</v>
      </c>
      <c r="K60" s="7">
        <f>1/8*1</f>
        <v>0.125</v>
      </c>
      <c r="M60" s="58">
        <f>2.87/8*1</f>
        <v>0.35875000000000001</v>
      </c>
    </row>
    <row r="61" spans="1:13" x14ac:dyDescent="0.2">
      <c r="H61" s="5" t="s">
        <v>3</v>
      </c>
      <c r="I61" s="44">
        <f>$G$59/8*1.5</f>
        <v>0</v>
      </c>
      <c r="K61" s="7">
        <f>1/8*1.5</f>
        <v>0.1875</v>
      </c>
      <c r="M61" s="58">
        <f>2.87/8*1.5</f>
        <v>0.53812499999999996</v>
      </c>
    </row>
    <row r="62" spans="1:13" x14ac:dyDescent="0.2">
      <c r="H62" s="5" t="s">
        <v>4</v>
      </c>
      <c r="I62" s="44">
        <f>$G$59/8*2</f>
        <v>0</v>
      </c>
      <c r="K62" s="7">
        <f>1/8*2</f>
        <v>0.25</v>
      </c>
      <c r="M62" s="58">
        <f>2.87/8*2</f>
        <v>0.71750000000000003</v>
      </c>
    </row>
    <row r="63" spans="1:13" x14ac:dyDescent="0.2">
      <c r="H63" s="5" t="s">
        <v>5</v>
      </c>
      <c r="I63" s="44">
        <f>$G$59/8*3</f>
        <v>0</v>
      </c>
      <c r="K63" s="7">
        <f>1/8*3</f>
        <v>0.375</v>
      </c>
      <c r="M63" s="58">
        <f>2.87/8*3</f>
        <v>1.0762499999999999</v>
      </c>
    </row>
    <row r="64" spans="1:13" ht="17" thickBot="1" x14ac:dyDescent="0.25">
      <c r="A64" s="29"/>
      <c r="B64" s="29"/>
      <c r="C64" s="29"/>
      <c r="D64" s="29"/>
      <c r="E64" s="29"/>
      <c r="F64" s="29"/>
      <c r="G64" s="29"/>
      <c r="H64" s="29" t="s">
        <v>23</v>
      </c>
      <c r="I64" s="45">
        <f>$G$59/8*4</f>
        <v>0</v>
      </c>
      <c r="J64" s="29"/>
      <c r="K64" s="30">
        <f>1/8*4</f>
        <v>0.5</v>
      </c>
      <c r="L64" s="29"/>
      <c r="M64" s="59">
        <f>2.87/8*4</f>
        <v>1.4350000000000001</v>
      </c>
    </row>
    <row r="65" spans="1:13" x14ac:dyDescent="0.2">
      <c r="A65" s="5" t="s">
        <v>125</v>
      </c>
      <c r="B65" s="5" t="s">
        <v>255</v>
      </c>
      <c r="C65" s="5" t="s">
        <v>253</v>
      </c>
      <c r="D65" s="5">
        <v>4</v>
      </c>
      <c r="E65" s="5" t="s">
        <v>167</v>
      </c>
      <c r="F65" s="5" t="s">
        <v>2</v>
      </c>
      <c r="G65" s="12">
        <v>0</v>
      </c>
      <c r="H65" s="5" t="s">
        <v>18</v>
      </c>
      <c r="I65" s="44">
        <f>$G$65/8*2</f>
        <v>0</v>
      </c>
      <c r="J65" s="19" t="s">
        <v>43</v>
      </c>
      <c r="K65" s="7">
        <f>3.8/8*2</f>
        <v>0.95</v>
      </c>
      <c r="L65" s="5" t="s">
        <v>45</v>
      </c>
      <c r="M65" s="64" t="s">
        <v>45</v>
      </c>
    </row>
    <row r="66" spans="1:13" x14ac:dyDescent="0.2">
      <c r="H66" s="5" t="s">
        <v>39</v>
      </c>
      <c r="I66" s="44">
        <f>$G$65/8*3</f>
        <v>0</v>
      </c>
      <c r="K66" s="7">
        <f>3.8/8*3</f>
        <v>1.4249999999999998</v>
      </c>
      <c r="M66" s="64" t="s">
        <v>45</v>
      </c>
    </row>
    <row r="67" spans="1:13" ht="17" thickBot="1" x14ac:dyDescent="0.25">
      <c r="A67" s="29"/>
      <c r="B67" s="29"/>
      <c r="C67" s="29"/>
      <c r="D67" s="29"/>
      <c r="E67" s="29"/>
      <c r="F67" s="29"/>
      <c r="G67" s="29"/>
      <c r="H67" s="29" t="s">
        <v>19</v>
      </c>
      <c r="I67" s="45">
        <f>$G$65/8*4</f>
        <v>0</v>
      </c>
      <c r="J67" s="29"/>
      <c r="K67" s="30">
        <f>3.8/8*4</f>
        <v>1.9</v>
      </c>
      <c r="L67" s="29"/>
      <c r="M67" s="65" t="s">
        <v>45</v>
      </c>
    </row>
    <row r="68" spans="1:13" x14ac:dyDescent="0.2">
      <c r="A68" s="5" t="s">
        <v>119</v>
      </c>
      <c r="B68" s="5" t="s">
        <v>252</v>
      </c>
      <c r="C68" s="5" t="s">
        <v>253</v>
      </c>
      <c r="D68" s="5">
        <v>4</v>
      </c>
      <c r="E68" s="5" t="s">
        <v>167</v>
      </c>
      <c r="F68" s="5" t="s">
        <v>2</v>
      </c>
      <c r="G68" s="12">
        <v>0</v>
      </c>
      <c r="H68" s="5" t="s">
        <v>17</v>
      </c>
      <c r="I68" s="44">
        <f>$G$68/8*1</f>
        <v>0</v>
      </c>
      <c r="J68" s="5" t="s">
        <v>43</v>
      </c>
      <c r="K68" s="7">
        <f>3.8/8*1</f>
        <v>0.47499999999999998</v>
      </c>
      <c r="L68" s="5" t="s">
        <v>45</v>
      </c>
      <c r="M68" s="64" t="s">
        <v>45</v>
      </c>
    </row>
    <row r="69" spans="1:13" x14ac:dyDescent="0.2">
      <c r="H69" s="5" t="s">
        <v>18</v>
      </c>
      <c r="I69" s="44">
        <f>$G$68/8*2</f>
        <v>0</v>
      </c>
      <c r="K69" s="7">
        <f>3.8/8*2</f>
        <v>0.95</v>
      </c>
      <c r="M69" s="64" t="s">
        <v>45</v>
      </c>
    </row>
    <row r="70" spans="1:13" x14ac:dyDescent="0.2">
      <c r="H70" s="5" t="s">
        <v>39</v>
      </c>
      <c r="I70" s="44">
        <f>$G$68/8*3</f>
        <v>0</v>
      </c>
      <c r="K70" s="7">
        <f>3.8/8*3</f>
        <v>1.4249999999999998</v>
      </c>
      <c r="M70" s="64" t="s">
        <v>45</v>
      </c>
    </row>
    <row r="71" spans="1:13" ht="17" thickBot="1" x14ac:dyDescent="0.25">
      <c r="A71" s="29"/>
      <c r="B71" s="29"/>
      <c r="C71" s="29"/>
      <c r="D71" s="29"/>
      <c r="E71" s="29"/>
      <c r="F71" s="29"/>
      <c r="G71" s="29"/>
      <c r="H71" s="29" t="s">
        <v>19</v>
      </c>
      <c r="I71" s="45">
        <f>$G$68/8*4</f>
        <v>0</v>
      </c>
      <c r="J71" s="29"/>
      <c r="K71" s="30">
        <f>3.8/8*4</f>
        <v>1.9</v>
      </c>
      <c r="L71" s="29"/>
      <c r="M71" s="65" t="s">
        <v>45</v>
      </c>
    </row>
    <row r="72" spans="1:13" x14ac:dyDescent="0.2">
      <c r="A72" s="5" t="s">
        <v>120</v>
      </c>
      <c r="B72" s="5" t="s">
        <v>254</v>
      </c>
      <c r="C72" s="5" t="s">
        <v>253</v>
      </c>
      <c r="D72" s="5">
        <v>4</v>
      </c>
      <c r="E72" s="5" t="s">
        <v>167</v>
      </c>
      <c r="F72" s="5" t="s">
        <v>2</v>
      </c>
      <c r="G72" s="12">
        <v>0</v>
      </c>
      <c r="H72" s="5" t="s">
        <v>18</v>
      </c>
      <c r="I72" s="44">
        <f>$G$72/8*2</f>
        <v>0</v>
      </c>
      <c r="J72" s="19" t="s">
        <v>43</v>
      </c>
      <c r="K72" s="7">
        <f>3.8/8*2</f>
        <v>0.95</v>
      </c>
      <c r="L72" s="5" t="s">
        <v>45</v>
      </c>
      <c r="M72" s="64" t="s">
        <v>45</v>
      </c>
    </row>
    <row r="73" spans="1:13" x14ac:dyDescent="0.2">
      <c r="H73" s="5" t="s">
        <v>39</v>
      </c>
      <c r="I73" s="44">
        <f>$G$72/8*3</f>
        <v>0</v>
      </c>
      <c r="K73" s="7">
        <f>3.8/8*3</f>
        <v>1.4249999999999998</v>
      </c>
      <c r="M73" s="64" t="s">
        <v>45</v>
      </c>
    </row>
    <row r="74" spans="1:13" ht="17" thickBot="1" x14ac:dyDescent="0.25">
      <c r="A74" s="29"/>
      <c r="B74" s="29"/>
      <c r="C74" s="29"/>
      <c r="D74" s="29"/>
      <c r="E74" s="29"/>
      <c r="F74" s="29"/>
      <c r="G74" s="29"/>
      <c r="H74" s="29" t="s">
        <v>19</v>
      </c>
      <c r="I74" s="45">
        <f>$G$72/8*4</f>
        <v>0</v>
      </c>
      <c r="J74" s="29"/>
      <c r="K74" s="30">
        <f>3.8/8*4</f>
        <v>1.9</v>
      </c>
      <c r="L74" s="29"/>
      <c r="M74" s="65" t="s">
        <v>45</v>
      </c>
    </row>
    <row r="75" spans="1:13" x14ac:dyDescent="0.2"/>
    <row r="76" spans="1:13" x14ac:dyDescent="0.2"/>
    <row r="77" spans="1:13" ht="19" thickBot="1" x14ac:dyDescent="0.25">
      <c r="A77" s="35" t="s">
        <v>325</v>
      </c>
      <c r="B77" s="36"/>
      <c r="C77" s="36"/>
      <c r="D77" s="36"/>
      <c r="E77" s="36"/>
      <c r="F77" s="36"/>
      <c r="G77" s="36"/>
      <c r="H77" s="36"/>
      <c r="I77" s="36"/>
      <c r="J77" s="36"/>
      <c r="K77" s="36"/>
      <c r="L77" s="36"/>
      <c r="M77" s="36"/>
    </row>
    <row r="78" spans="1:13" x14ac:dyDescent="0.2">
      <c r="A78" s="5" t="s">
        <v>102</v>
      </c>
      <c r="B78" s="5" t="s">
        <v>256</v>
      </c>
      <c r="C78" s="5" t="s">
        <v>257</v>
      </c>
      <c r="D78" s="5">
        <v>9</v>
      </c>
      <c r="E78" s="5" t="s">
        <v>166</v>
      </c>
      <c r="F78" s="5" t="s">
        <v>2</v>
      </c>
      <c r="G78" s="12">
        <v>0</v>
      </c>
      <c r="H78" s="5" t="s">
        <v>69</v>
      </c>
      <c r="I78" s="50">
        <f>$G$78/4*0.5</f>
        <v>0</v>
      </c>
      <c r="J78" s="5" t="s">
        <v>75</v>
      </c>
      <c r="K78" s="7">
        <f>4/4*0.5</f>
        <v>0.5</v>
      </c>
      <c r="L78" s="5" t="s">
        <v>45</v>
      </c>
      <c r="M78" s="66" t="s">
        <v>45</v>
      </c>
    </row>
    <row r="79" spans="1:13" x14ac:dyDescent="0.2">
      <c r="A79" s="5" t="s">
        <v>123</v>
      </c>
      <c r="H79" s="5" t="s">
        <v>70</v>
      </c>
      <c r="I79" s="44">
        <f>$G$78/4*1</f>
        <v>0</v>
      </c>
      <c r="K79" s="7">
        <f>4/4*1</f>
        <v>1</v>
      </c>
      <c r="M79" s="58" t="s">
        <v>45</v>
      </c>
    </row>
    <row r="80" spans="1:13" x14ac:dyDescent="0.2">
      <c r="H80" s="5" t="s">
        <v>71</v>
      </c>
      <c r="I80" s="44">
        <f>$G$78/4*2</f>
        <v>0</v>
      </c>
      <c r="K80" s="7">
        <f>4/4*2</f>
        <v>2</v>
      </c>
      <c r="M80" s="58" t="s">
        <v>45</v>
      </c>
    </row>
    <row r="81" spans="1:13" x14ac:dyDescent="0.2">
      <c r="H81" s="5" t="s">
        <v>72</v>
      </c>
      <c r="I81" s="44">
        <f>$G$78/4*3</f>
        <v>0</v>
      </c>
      <c r="K81" s="7">
        <f>4/4*3</f>
        <v>3</v>
      </c>
      <c r="M81" s="58" t="s">
        <v>45</v>
      </c>
    </row>
    <row r="82" spans="1:13" x14ac:dyDescent="0.2">
      <c r="H82" s="5" t="s">
        <v>73</v>
      </c>
      <c r="I82" s="44">
        <f>$G$78/4*4</f>
        <v>0</v>
      </c>
      <c r="K82" s="7">
        <f>4/4*4</f>
        <v>4</v>
      </c>
      <c r="M82" s="58" t="s">
        <v>45</v>
      </c>
    </row>
    <row r="83" spans="1:13" ht="17" thickBot="1" x14ac:dyDescent="0.25">
      <c r="A83" s="29"/>
      <c r="B83" s="29"/>
      <c r="C83" s="29"/>
      <c r="D83" s="29"/>
      <c r="E83" s="29"/>
      <c r="F83" s="29"/>
      <c r="G83" s="29"/>
      <c r="H83" s="29" t="s">
        <v>74</v>
      </c>
      <c r="I83" s="45">
        <f>$G$78/4*5</f>
        <v>0</v>
      </c>
      <c r="J83" s="29"/>
      <c r="K83" s="30">
        <f>4/4*5</f>
        <v>5</v>
      </c>
      <c r="L83" s="29"/>
      <c r="M83" s="59" t="s">
        <v>45</v>
      </c>
    </row>
    <row r="84" spans="1:13" x14ac:dyDescent="0.2">
      <c r="A84" s="13" t="s">
        <v>124</v>
      </c>
      <c r="B84" s="13" t="s">
        <v>327</v>
      </c>
      <c r="C84" s="13" t="s">
        <v>258</v>
      </c>
      <c r="D84" s="13">
        <v>2</v>
      </c>
      <c r="E84" s="13" t="s">
        <v>166</v>
      </c>
      <c r="F84" s="13" t="s">
        <v>29</v>
      </c>
      <c r="G84" s="23">
        <v>0</v>
      </c>
      <c r="H84" s="14" t="s">
        <v>143</v>
      </c>
      <c r="I84" s="51">
        <f>$G$84*0.3</f>
        <v>0</v>
      </c>
      <c r="J84" s="13" t="s">
        <v>44</v>
      </c>
      <c r="K84" s="15">
        <f>0.6/16*0.3</f>
        <v>1.125E-2</v>
      </c>
      <c r="L84" s="13" t="s">
        <v>45</v>
      </c>
      <c r="M84" s="67" t="s">
        <v>45</v>
      </c>
    </row>
    <row r="85" spans="1:13" x14ac:dyDescent="0.2">
      <c r="A85" s="13" t="s">
        <v>123</v>
      </c>
      <c r="B85" s="13"/>
      <c r="C85" s="13"/>
      <c r="D85" s="13"/>
      <c r="E85" s="13"/>
      <c r="F85" s="13"/>
      <c r="G85" s="13"/>
      <c r="H85" s="14" t="s">
        <v>144</v>
      </c>
      <c r="I85" s="51">
        <f>$G$84*0.5</f>
        <v>0</v>
      </c>
      <c r="J85" s="13"/>
      <c r="K85" s="15">
        <f>0.6/16*0.5</f>
        <v>1.8749999999999999E-2</v>
      </c>
      <c r="L85" s="13"/>
      <c r="M85" s="67" t="s">
        <v>45</v>
      </c>
    </row>
    <row r="86" spans="1:13" ht="17" thickBot="1" x14ac:dyDescent="0.25">
      <c r="A86" s="37"/>
      <c r="B86" s="37"/>
      <c r="C86" s="37"/>
      <c r="D86" s="37"/>
      <c r="E86" s="37"/>
      <c r="F86" s="37"/>
      <c r="G86" s="37"/>
      <c r="H86" s="38" t="s">
        <v>140</v>
      </c>
      <c r="I86" s="52">
        <f>$G$84*1</f>
        <v>0</v>
      </c>
      <c r="J86" s="37"/>
      <c r="K86" s="39">
        <f>0.6/16*1</f>
        <v>3.7499999999999999E-2</v>
      </c>
      <c r="L86" s="37"/>
      <c r="M86" s="68" t="s">
        <v>45</v>
      </c>
    </row>
    <row r="87" spans="1:13" x14ac:dyDescent="0.2">
      <c r="A87" s="13" t="s">
        <v>105</v>
      </c>
      <c r="B87" s="13" t="s">
        <v>259</v>
      </c>
      <c r="C87" s="13" t="s">
        <v>260</v>
      </c>
      <c r="D87" s="13">
        <v>2</v>
      </c>
      <c r="E87" s="13" t="s">
        <v>166</v>
      </c>
      <c r="F87" s="13" t="s">
        <v>29</v>
      </c>
      <c r="G87" s="23">
        <v>0</v>
      </c>
      <c r="H87" s="13" t="s">
        <v>30</v>
      </c>
      <c r="I87" s="51">
        <f>$G$87*0.125</f>
        <v>0</v>
      </c>
      <c r="J87" s="13" t="s">
        <v>44</v>
      </c>
      <c r="K87" s="15">
        <f>0.48/16*0.125</f>
        <v>3.7499999999999999E-3</v>
      </c>
      <c r="L87" s="13" t="s">
        <v>64</v>
      </c>
      <c r="M87" s="67">
        <f>0.15/16*0.125</f>
        <v>1.171875E-3</v>
      </c>
    </row>
    <row r="88" spans="1:13" x14ac:dyDescent="0.2">
      <c r="A88" s="13" t="s">
        <v>123</v>
      </c>
      <c r="B88" s="13" t="s">
        <v>261</v>
      </c>
      <c r="C88" s="13" t="s">
        <v>262</v>
      </c>
      <c r="D88" s="13">
        <v>2</v>
      </c>
      <c r="E88" s="13" t="s">
        <v>166</v>
      </c>
      <c r="F88" s="13"/>
      <c r="G88" s="13"/>
      <c r="H88" s="13" t="s">
        <v>31</v>
      </c>
      <c r="I88" s="51">
        <f>$G$87*0.25</f>
        <v>0</v>
      </c>
      <c r="J88" s="13"/>
      <c r="K88" s="15">
        <f>0.48/16*0.25</f>
        <v>7.4999999999999997E-3</v>
      </c>
      <c r="L88" s="13"/>
      <c r="M88" s="67">
        <f>0.15/16*0.25</f>
        <v>2.3437499999999999E-3</v>
      </c>
    </row>
    <row r="89" spans="1:13" x14ac:dyDescent="0.2">
      <c r="A89" s="13"/>
      <c r="B89" s="13"/>
      <c r="C89" s="13"/>
      <c r="D89" s="13"/>
      <c r="E89" s="13"/>
      <c r="F89" s="13"/>
      <c r="G89" s="13"/>
      <c r="H89" s="13" t="s">
        <v>32</v>
      </c>
      <c r="I89" s="51">
        <f>$G$87*0.375</f>
        <v>0</v>
      </c>
      <c r="J89" s="13"/>
      <c r="K89" s="15">
        <f>0.48/16*0.375</f>
        <v>1.125E-2</v>
      </c>
      <c r="L89" s="13"/>
      <c r="M89" s="67">
        <f>0.15/16*0.375</f>
        <v>3.5156249999999997E-3</v>
      </c>
    </row>
    <row r="90" spans="1:13" x14ac:dyDescent="0.2">
      <c r="A90" s="13"/>
      <c r="B90" s="13"/>
      <c r="C90" s="13"/>
      <c r="D90" s="13"/>
      <c r="E90" s="13"/>
      <c r="F90" s="13"/>
      <c r="G90" s="13"/>
      <c r="H90" s="13" t="s">
        <v>33</v>
      </c>
      <c r="I90" s="51">
        <f>$G$87*0.625</f>
        <v>0</v>
      </c>
      <c r="J90" s="13"/>
      <c r="K90" s="15">
        <f>0.48/16*0.625</f>
        <v>1.8749999999999999E-2</v>
      </c>
      <c r="L90" s="13"/>
      <c r="M90" s="67">
        <f>0.15/16*0.625</f>
        <v>5.859375E-3</v>
      </c>
    </row>
    <row r="91" spans="1:13" ht="17" thickBot="1" x14ac:dyDescent="0.25">
      <c r="A91" s="37"/>
      <c r="B91" s="37"/>
      <c r="C91" s="37"/>
      <c r="D91" s="37"/>
      <c r="E91" s="37"/>
      <c r="F91" s="37"/>
      <c r="G91" s="37"/>
      <c r="H91" s="37" t="s">
        <v>34</v>
      </c>
      <c r="I91" s="52">
        <f>$G$87*1.25</f>
        <v>0</v>
      </c>
      <c r="J91" s="37"/>
      <c r="K91" s="39">
        <f>0.48/16*1.25</f>
        <v>3.7499999999999999E-2</v>
      </c>
      <c r="L91" s="37"/>
      <c r="M91" s="68">
        <f>0.15/16*1.25</f>
        <v>1.171875E-2</v>
      </c>
    </row>
    <row r="92" spans="1:13" x14ac:dyDescent="0.2">
      <c r="A92" s="5" t="s">
        <v>104</v>
      </c>
      <c r="B92" s="5" t="s">
        <v>263</v>
      </c>
      <c r="C92" s="5" t="s">
        <v>264</v>
      </c>
      <c r="D92" s="5">
        <v>2</v>
      </c>
      <c r="E92" s="5" t="s">
        <v>166</v>
      </c>
      <c r="F92" s="5" t="s">
        <v>29</v>
      </c>
      <c r="G92" s="12">
        <v>0</v>
      </c>
      <c r="H92" s="5" t="s">
        <v>41</v>
      </c>
      <c r="I92" s="44">
        <f>$G$92*1.33</f>
        <v>0</v>
      </c>
      <c r="J92" s="5" t="s">
        <v>68</v>
      </c>
      <c r="K92" s="7">
        <f>0.75/16*1.33</f>
        <v>6.2343750000000003E-2</v>
      </c>
      <c r="L92" s="5" t="s">
        <v>45</v>
      </c>
      <c r="M92" s="58" t="s">
        <v>45</v>
      </c>
    </row>
    <row r="93" spans="1:13" ht="17" thickBot="1" x14ac:dyDescent="0.25">
      <c r="A93" s="40" t="s">
        <v>150</v>
      </c>
      <c r="B93" s="29"/>
      <c r="C93" s="29"/>
      <c r="D93" s="29"/>
      <c r="E93" s="29"/>
      <c r="F93" s="29"/>
      <c r="G93" s="29"/>
      <c r="H93" s="29" t="s">
        <v>142</v>
      </c>
      <c r="I93" s="45">
        <f>$G$92*2</f>
        <v>0</v>
      </c>
      <c r="J93" s="29"/>
      <c r="K93" s="30">
        <f>0.75/16*2</f>
        <v>9.375E-2</v>
      </c>
      <c r="L93" s="29"/>
      <c r="M93" s="59" t="s">
        <v>45</v>
      </c>
    </row>
    <row r="94" spans="1:13" x14ac:dyDescent="0.2">
      <c r="A94" s="5" t="s">
        <v>106</v>
      </c>
      <c r="B94" s="5" t="s">
        <v>265</v>
      </c>
      <c r="C94" s="5" t="s">
        <v>266</v>
      </c>
      <c r="D94" s="5">
        <v>2</v>
      </c>
      <c r="E94" s="5" t="s">
        <v>166</v>
      </c>
      <c r="F94" s="5" t="s">
        <v>29</v>
      </c>
      <c r="G94" s="12">
        <v>0</v>
      </c>
      <c r="H94" s="5" t="s">
        <v>140</v>
      </c>
      <c r="I94" s="44">
        <f>$G$94*1</f>
        <v>0</v>
      </c>
      <c r="J94" s="5" t="s">
        <v>67</v>
      </c>
      <c r="K94" s="7">
        <f>0.562/16*1</f>
        <v>3.5125000000000003E-2</v>
      </c>
      <c r="L94" s="5" t="s">
        <v>44</v>
      </c>
      <c r="M94" s="58">
        <f>0.15/16*1</f>
        <v>9.3749999999999997E-3</v>
      </c>
    </row>
    <row r="95" spans="1:13" x14ac:dyDescent="0.2">
      <c r="A95" s="24" t="s">
        <v>152</v>
      </c>
      <c r="B95" s="5" t="s">
        <v>267</v>
      </c>
      <c r="C95" s="5" t="s">
        <v>268</v>
      </c>
      <c r="D95" s="5">
        <v>2</v>
      </c>
      <c r="E95" s="5" t="s">
        <v>166</v>
      </c>
      <c r="H95" s="5" t="s">
        <v>36</v>
      </c>
      <c r="I95" s="44">
        <f>$G$94*1.25</f>
        <v>0</v>
      </c>
      <c r="K95" s="7">
        <f>0.562/16*1.25</f>
        <v>4.3906250000000008E-2</v>
      </c>
      <c r="M95" s="58">
        <f>0.15/16*1.25</f>
        <v>1.171875E-2</v>
      </c>
    </row>
    <row r="96" spans="1:13" ht="17" thickBot="1" x14ac:dyDescent="0.25">
      <c r="A96" s="29"/>
      <c r="B96" s="29"/>
      <c r="C96" s="29"/>
      <c r="D96" s="29"/>
      <c r="E96" s="29"/>
      <c r="F96" s="29"/>
      <c r="G96" s="29"/>
      <c r="H96" s="29" t="s">
        <v>141</v>
      </c>
      <c r="I96" s="45">
        <f>$G$94*1.5</f>
        <v>0</v>
      </c>
      <c r="J96" s="29"/>
      <c r="K96" s="30">
        <f>0.562/16*1.5</f>
        <v>5.2687500000000005E-2</v>
      </c>
      <c r="L96" s="29"/>
      <c r="M96" s="59">
        <f>0.15/16*1.5</f>
        <v>1.4062499999999999E-2</v>
      </c>
    </row>
    <row r="97" spans="1:13" ht="18" x14ac:dyDescent="0.25">
      <c r="A97" s="5" t="s">
        <v>269</v>
      </c>
      <c r="B97" s="5" t="s">
        <v>270</v>
      </c>
      <c r="C97" s="5" t="s">
        <v>271</v>
      </c>
      <c r="D97" s="5">
        <v>3</v>
      </c>
      <c r="E97" s="5" t="s">
        <v>169</v>
      </c>
      <c r="F97" s="5" t="s">
        <v>2</v>
      </c>
      <c r="G97" s="12">
        <v>0</v>
      </c>
      <c r="H97" s="5" t="s">
        <v>91</v>
      </c>
      <c r="I97" s="44">
        <f>$G$97/8*1.1</f>
        <v>0</v>
      </c>
      <c r="J97" s="19" t="s">
        <v>92</v>
      </c>
      <c r="K97" s="7">
        <f>3.8/8*1.1</f>
        <v>0.52249999999999996</v>
      </c>
      <c r="L97" s="5" t="s">
        <v>45</v>
      </c>
      <c r="M97" s="58" t="s">
        <v>45</v>
      </c>
    </row>
    <row r="98" spans="1:13" x14ac:dyDescent="0.2">
      <c r="A98" s="5" t="s">
        <v>311</v>
      </c>
      <c r="H98" s="5" t="s">
        <v>4</v>
      </c>
      <c r="I98" s="44">
        <f>$G$97/8*2</f>
        <v>0</v>
      </c>
      <c r="K98" s="7">
        <f>3.8/8*2</f>
        <v>0.95</v>
      </c>
      <c r="M98" s="58" t="s">
        <v>45</v>
      </c>
    </row>
    <row r="99" spans="1:13" x14ac:dyDescent="0.2">
      <c r="A99" s="24" t="s">
        <v>152</v>
      </c>
      <c r="H99" s="5" t="s">
        <v>5</v>
      </c>
      <c r="I99" s="44">
        <f>$G$97/8*3</f>
        <v>0</v>
      </c>
      <c r="K99" s="7">
        <f>3.8/8*3</f>
        <v>1.4249999999999998</v>
      </c>
      <c r="M99" s="58" t="s">
        <v>45</v>
      </c>
    </row>
    <row r="100" spans="1:13" ht="17" thickBot="1" x14ac:dyDescent="0.25">
      <c r="A100" s="29"/>
      <c r="B100" s="29"/>
      <c r="C100" s="29"/>
      <c r="D100" s="29"/>
      <c r="E100" s="29"/>
      <c r="F100" s="29"/>
      <c r="G100" s="29"/>
      <c r="H100" s="29" t="s">
        <v>40</v>
      </c>
      <c r="I100" s="45">
        <f>$G$97/8*4.2</f>
        <v>0</v>
      </c>
      <c r="J100" s="29"/>
      <c r="K100" s="30">
        <f>3.8/8*4.2</f>
        <v>1.9949999999999999</v>
      </c>
      <c r="L100" s="29"/>
      <c r="M100" s="59" t="s">
        <v>45</v>
      </c>
    </row>
    <row r="101" spans="1:13" x14ac:dyDescent="0.2">
      <c r="A101" s="5" t="s">
        <v>103</v>
      </c>
      <c r="B101" s="5" t="s">
        <v>272</v>
      </c>
      <c r="C101" s="5" t="s">
        <v>273</v>
      </c>
      <c r="D101" s="5">
        <v>5</v>
      </c>
      <c r="E101" s="5" t="s">
        <v>168</v>
      </c>
      <c r="F101" s="5" t="s">
        <v>2</v>
      </c>
      <c r="G101" s="12">
        <v>0</v>
      </c>
      <c r="H101" s="5" t="s">
        <v>37</v>
      </c>
      <c r="I101" s="44">
        <f>$G$101/8*2.75</f>
        <v>0</v>
      </c>
      <c r="J101" s="5" t="s">
        <v>63</v>
      </c>
      <c r="K101" s="7">
        <f>2/8*2.75</f>
        <v>0.6875</v>
      </c>
      <c r="L101" s="5" t="s">
        <v>45</v>
      </c>
      <c r="M101" s="58" t="s">
        <v>45</v>
      </c>
    </row>
    <row r="102" spans="1:13" x14ac:dyDescent="0.2">
      <c r="A102" s="24" t="s">
        <v>151</v>
      </c>
      <c r="H102" s="5" t="s">
        <v>38</v>
      </c>
      <c r="I102" s="44">
        <f>$G$101/8*3.5</f>
        <v>0</v>
      </c>
      <c r="K102" s="7">
        <f>2/8*3.5</f>
        <v>0.875</v>
      </c>
      <c r="M102" s="58" t="s">
        <v>45</v>
      </c>
    </row>
    <row r="103" spans="1:13" ht="17" thickBot="1" x14ac:dyDescent="0.25">
      <c r="A103" s="29"/>
      <c r="B103" s="29"/>
      <c r="C103" s="29"/>
      <c r="D103" s="29"/>
      <c r="E103" s="29"/>
      <c r="F103" s="29"/>
      <c r="G103" s="29"/>
      <c r="H103" s="29" t="s">
        <v>27</v>
      </c>
      <c r="I103" s="45">
        <f>$G$101/8*4.5</f>
        <v>0</v>
      </c>
      <c r="J103" s="29"/>
      <c r="K103" s="30">
        <f>2/8*4.5</f>
        <v>1.125</v>
      </c>
      <c r="L103" s="29"/>
      <c r="M103" s="59" t="s">
        <v>45</v>
      </c>
    </row>
    <row r="104" spans="1:13" ht="18" x14ac:dyDescent="0.2">
      <c r="A104" s="5" t="s">
        <v>274</v>
      </c>
      <c r="B104" s="5" t="s">
        <v>328</v>
      </c>
      <c r="C104" s="5" t="s">
        <v>275</v>
      </c>
      <c r="D104" s="5">
        <v>29</v>
      </c>
      <c r="E104" s="5" t="s">
        <v>172</v>
      </c>
      <c r="F104" s="5" t="s">
        <v>2</v>
      </c>
      <c r="G104" s="12">
        <v>0</v>
      </c>
      <c r="H104" s="5" t="s">
        <v>6</v>
      </c>
      <c r="I104" s="44">
        <f>$G$104/128*3</f>
        <v>0</v>
      </c>
      <c r="J104" s="5" t="s">
        <v>173</v>
      </c>
      <c r="K104" s="7">
        <f>1.67/128*3</f>
        <v>3.9140624999999998E-2</v>
      </c>
      <c r="L104" s="5" t="s">
        <v>45</v>
      </c>
      <c r="M104" s="58" t="s">
        <v>45</v>
      </c>
    </row>
    <row r="105" spans="1:13" x14ac:dyDescent="0.2">
      <c r="A105" s="5" t="s">
        <v>178</v>
      </c>
      <c r="H105" s="5" t="s">
        <v>7</v>
      </c>
      <c r="I105" s="44">
        <f>$G$104/128*4</f>
        <v>0</v>
      </c>
      <c r="K105" s="7">
        <f>1.67/128*4</f>
        <v>5.2187499999999998E-2</v>
      </c>
      <c r="M105" s="58" t="s">
        <v>45</v>
      </c>
    </row>
    <row r="106" spans="1:13" ht="17" thickBot="1" x14ac:dyDescent="0.25">
      <c r="A106" s="40" t="s">
        <v>179</v>
      </c>
      <c r="B106" s="29"/>
      <c r="C106" s="29"/>
      <c r="D106" s="29"/>
      <c r="E106" s="29"/>
      <c r="F106" s="29"/>
      <c r="G106" s="29"/>
      <c r="H106" s="29" t="s">
        <v>8</v>
      </c>
      <c r="I106" s="45">
        <f>$G$104/128*5</f>
        <v>0</v>
      </c>
      <c r="J106" s="29"/>
      <c r="K106" s="30">
        <f>1.67/128*5</f>
        <v>6.5234374999999997E-2</v>
      </c>
      <c r="L106" s="29"/>
      <c r="M106" s="59" t="s">
        <v>45</v>
      </c>
    </row>
    <row r="107" spans="1:13" x14ac:dyDescent="0.2"/>
    <row r="108" spans="1:13" x14ac:dyDescent="0.2"/>
    <row r="109" spans="1:13" x14ac:dyDescent="0.2">
      <c r="A109" s="99" t="s">
        <v>316</v>
      </c>
    </row>
    <row r="110" spans="1:13" ht="48" customHeight="1" x14ac:dyDescent="0.2">
      <c r="A110" s="109" t="s">
        <v>317</v>
      </c>
      <c r="B110" s="109"/>
      <c r="C110" s="109"/>
      <c r="D110" s="109"/>
      <c r="E110" s="109"/>
      <c r="F110" s="109"/>
      <c r="G110" s="109"/>
      <c r="H110" s="109"/>
      <c r="I110" s="109"/>
      <c r="J110" s="109"/>
      <c r="K110" s="109"/>
      <c r="L110" s="109"/>
      <c r="M110" s="109"/>
    </row>
    <row r="111" spans="1:13" x14ac:dyDescent="0.2"/>
    <row r="112" spans="1:13" x14ac:dyDescent="0.2">
      <c r="A112" s="18" t="s">
        <v>324</v>
      </c>
    </row>
    <row r="113" spans="1:1" x14ac:dyDescent="0.2"/>
    <row r="114" spans="1:1" x14ac:dyDescent="0.2">
      <c r="A114" s="18" t="s">
        <v>335</v>
      </c>
    </row>
    <row r="115" spans="1:1" x14ac:dyDescent="0.2"/>
    <row r="116" spans="1:1" x14ac:dyDescent="0.2">
      <c r="A116" s="18" t="s">
        <v>388</v>
      </c>
    </row>
    <row r="117" spans="1:1" x14ac:dyDescent="0.2">
      <c r="A117" s="24"/>
    </row>
    <row r="118" spans="1:1" x14ac:dyDescent="0.2"/>
    <row r="119" spans="1:1" x14ac:dyDescent="0.2"/>
    <row r="120" spans="1:1" x14ac:dyDescent="0.2"/>
    <row r="121" spans="1:1" x14ac:dyDescent="0.2"/>
    <row r="122" spans="1:1" x14ac:dyDescent="0.2"/>
    <row r="123" spans="1:1" x14ac:dyDescent="0.2"/>
    <row r="124" spans="1:1" x14ac:dyDescent="0.2"/>
    <row r="125" spans="1:1" x14ac:dyDescent="0.2"/>
    <row r="126" spans="1:1" x14ac:dyDescent="0.2"/>
    <row r="127" spans="1:1" x14ac:dyDescent="0.2"/>
  </sheetData>
  <sheetProtection algorithmName="SHA-512" hashValue="1GcYJiCnATCHKdIpVy6+VmctbnT1bEIsjJrbyY0w0xqkOTCameaJiHP0XZl9ERIEM5LZsoCdd4BoL7yXRm01ew==" saltValue="F5ItG74Ql1KpmQ1p7vKi2Q==" spinCount="100000" sheet="1" objects="1" scenarios="1"/>
  <mergeCells count="1">
    <mergeCell ref="A110:M110"/>
  </mergeCells>
  <phoneticPr fontId="3" type="noConversion"/>
  <pageMargins left="0.75" right="0.75" top="1.25" bottom="1" header="0.5" footer="0.5"/>
  <pageSetup scale="40" fitToHeight="8" orientation="landscape" horizontalDpi="4294967292" verticalDpi="4294967292"/>
  <headerFooter>
    <oddHeader>&amp;C&amp;"Calibri,Regular"&amp;K000000Herbicide Cost Per Acre Spreadsheet for Pastures and Hay Fields
Texas A&amp;M AgriLife Extension
J.P. Banta and V. Corriher-Olson</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R64"/>
  <sheetViews>
    <sheetView zoomScale="120" zoomScaleNormal="120" workbookViewId="0">
      <pane ySplit="1" topLeftCell="A29" activePane="bottomLeft" state="frozen"/>
      <selection pane="bottomLeft" activeCell="K43" sqref="K43"/>
    </sheetView>
  </sheetViews>
  <sheetFormatPr baseColWidth="10" defaultColWidth="0" defaultRowHeight="16" zeroHeight="1" x14ac:dyDescent="0.2"/>
  <cols>
    <col min="1" max="1" width="34.1640625" style="5" customWidth="1"/>
    <col min="2" max="2" width="34.83203125" style="5" bestFit="1" customWidth="1"/>
    <col min="3" max="3" width="30.83203125" style="5" bestFit="1" customWidth="1"/>
    <col min="4" max="4" width="16.6640625" style="5" customWidth="1"/>
    <col min="5" max="5" width="18.6640625" style="5" bestFit="1" customWidth="1"/>
    <col min="6" max="6" width="15.1640625" style="5" customWidth="1"/>
    <col min="7" max="7" width="14.1640625" style="5" customWidth="1"/>
    <col min="8" max="8" width="7.83203125" style="5" bestFit="1" customWidth="1"/>
    <col min="9" max="9" width="9.83203125" style="5" bestFit="1" customWidth="1"/>
    <col min="10" max="11" width="13.83203125" style="5" customWidth="1"/>
    <col min="12" max="12" width="18.83203125" style="5" bestFit="1" customWidth="1"/>
    <col min="13" max="13" width="11.1640625" style="5" bestFit="1" customWidth="1"/>
    <col min="14" max="14" width="18.83203125" style="5" bestFit="1" customWidth="1"/>
    <col min="15" max="15" width="11.1640625" style="5" bestFit="1" customWidth="1"/>
    <col min="16" max="16" width="10.83203125" style="5" customWidth="1"/>
    <col min="17" max="17" width="0" style="18" hidden="1" customWidth="1"/>
    <col min="18" max="18" width="0" style="69" hidden="1" customWidth="1"/>
    <col min="19" max="16384" width="10.83203125" style="5" hidden="1"/>
  </cols>
  <sheetData>
    <row r="1" spans="1:18" s="16" customFormat="1" ht="64" customHeight="1" thickBot="1" x14ac:dyDescent="0.25">
      <c r="A1" s="25" t="s">
        <v>1</v>
      </c>
      <c r="B1" s="25" t="s">
        <v>182</v>
      </c>
      <c r="C1" s="25" t="s">
        <v>319</v>
      </c>
      <c r="D1" s="25" t="s">
        <v>187</v>
      </c>
      <c r="E1" s="25" t="s">
        <v>94</v>
      </c>
      <c r="F1" s="25" t="s">
        <v>188</v>
      </c>
      <c r="G1" s="25" t="s">
        <v>189</v>
      </c>
      <c r="H1" s="25" t="s">
        <v>28</v>
      </c>
      <c r="I1" s="25" t="s">
        <v>0</v>
      </c>
      <c r="J1" s="25" t="s">
        <v>321</v>
      </c>
      <c r="K1" s="25" t="s">
        <v>322</v>
      </c>
      <c r="L1" s="25" t="s">
        <v>153</v>
      </c>
      <c r="M1" s="25" t="s">
        <v>312</v>
      </c>
      <c r="N1" s="25" t="s">
        <v>153</v>
      </c>
      <c r="O1" s="25" t="s">
        <v>312</v>
      </c>
      <c r="Q1" s="17"/>
      <c r="R1" s="84"/>
    </row>
    <row r="2" spans="1:18" x14ac:dyDescent="0.2">
      <c r="A2" s="5" t="s">
        <v>126</v>
      </c>
      <c r="B2" s="5" t="s">
        <v>276</v>
      </c>
      <c r="C2" s="5" t="s">
        <v>277</v>
      </c>
      <c r="D2" s="5">
        <v>1</v>
      </c>
      <c r="E2" s="5" t="s">
        <v>95</v>
      </c>
      <c r="F2" s="5" t="s">
        <v>46</v>
      </c>
      <c r="G2" s="5" t="s">
        <v>46</v>
      </c>
      <c r="H2" s="5" t="s">
        <v>2</v>
      </c>
      <c r="I2" s="12">
        <v>0</v>
      </c>
      <c r="J2" s="5" t="s">
        <v>69</v>
      </c>
      <c r="K2" s="50">
        <f>$I$2/4*0.5</f>
        <v>0</v>
      </c>
      <c r="L2" s="5" t="s">
        <v>154</v>
      </c>
      <c r="M2" s="72">
        <f>4/4*0.5</f>
        <v>0.5</v>
      </c>
      <c r="N2" s="5" t="s">
        <v>45</v>
      </c>
      <c r="O2" s="81" t="s">
        <v>45</v>
      </c>
    </row>
    <row r="3" spans="1:18" x14ac:dyDescent="0.2">
      <c r="J3" s="5" t="s">
        <v>332</v>
      </c>
      <c r="K3" s="44">
        <f>$I$2/4*1</f>
        <v>0</v>
      </c>
      <c r="M3" s="72">
        <f>4/4*1</f>
        <v>1</v>
      </c>
      <c r="O3" s="82" t="s">
        <v>45</v>
      </c>
    </row>
    <row r="4" spans="1:18" ht="17" thickBot="1" x14ac:dyDescent="0.25">
      <c r="A4" s="29"/>
      <c r="B4" s="29"/>
      <c r="C4" s="29"/>
      <c r="D4" s="29"/>
      <c r="E4" s="29"/>
      <c r="F4" s="29"/>
      <c r="G4" s="29"/>
      <c r="H4" s="29"/>
      <c r="I4" s="29"/>
      <c r="J4" s="29" t="s">
        <v>333</v>
      </c>
      <c r="K4" s="45">
        <f>$I$2/4*1.5</f>
        <v>0</v>
      </c>
      <c r="L4" s="29"/>
      <c r="M4" s="75">
        <f>4/4*1.5</f>
        <v>1.5</v>
      </c>
      <c r="N4" s="29"/>
      <c r="O4" s="83" t="s">
        <v>45</v>
      </c>
    </row>
    <row r="5" spans="1:18" x14ac:dyDescent="0.2">
      <c r="A5" s="5" t="s">
        <v>127</v>
      </c>
      <c r="B5" s="5" t="s">
        <v>278</v>
      </c>
      <c r="C5" s="5" t="s">
        <v>279</v>
      </c>
      <c r="D5" s="5">
        <v>1</v>
      </c>
      <c r="E5" s="5" t="s">
        <v>313</v>
      </c>
      <c r="F5" s="5" t="s">
        <v>46</v>
      </c>
      <c r="G5" s="5" t="s">
        <v>46</v>
      </c>
      <c r="H5" s="5" t="s">
        <v>2</v>
      </c>
      <c r="I5" s="12">
        <v>0</v>
      </c>
      <c r="J5" s="5" t="s">
        <v>3</v>
      </c>
      <c r="K5" s="44">
        <f>$I$5/8*1.5</f>
        <v>0</v>
      </c>
      <c r="L5" s="5" t="s">
        <v>155</v>
      </c>
      <c r="M5" s="72">
        <f>5/8*1.5</f>
        <v>0.9375</v>
      </c>
      <c r="N5" s="5" t="s">
        <v>45</v>
      </c>
      <c r="O5" s="82" t="s">
        <v>45</v>
      </c>
    </row>
    <row r="6" spans="1:18" ht="17" thickBot="1" x14ac:dyDescent="0.25">
      <c r="A6" s="29"/>
      <c r="B6" s="29"/>
      <c r="C6" s="29"/>
      <c r="D6" s="29"/>
      <c r="E6" s="29"/>
      <c r="F6" s="29"/>
      <c r="G6" s="29"/>
      <c r="H6" s="29"/>
      <c r="I6" s="29"/>
      <c r="J6" s="29" t="s">
        <v>4</v>
      </c>
      <c r="K6" s="45">
        <f>$I$5/8*2</f>
        <v>0</v>
      </c>
      <c r="L6" s="29"/>
      <c r="M6" s="75">
        <f>5/8*2</f>
        <v>1.25</v>
      </c>
      <c r="N6" s="29"/>
      <c r="O6" s="83" t="s">
        <v>45</v>
      </c>
    </row>
    <row r="7" spans="1:18" x14ac:dyDescent="0.2">
      <c r="A7" s="8" t="s">
        <v>128</v>
      </c>
      <c r="B7" s="8" t="s">
        <v>280</v>
      </c>
      <c r="C7" s="8" t="s">
        <v>281</v>
      </c>
      <c r="D7" s="8">
        <v>3</v>
      </c>
      <c r="E7" s="8" t="s">
        <v>96</v>
      </c>
      <c r="F7" s="8" t="s">
        <v>46</v>
      </c>
      <c r="G7" s="8" t="s">
        <v>46</v>
      </c>
      <c r="H7" s="8" t="s">
        <v>2</v>
      </c>
      <c r="I7" s="20">
        <v>0</v>
      </c>
      <c r="J7" s="8" t="s">
        <v>47</v>
      </c>
      <c r="K7" s="46">
        <f>$I$7/128*1.6</f>
        <v>0</v>
      </c>
      <c r="L7" s="8" t="s">
        <v>156</v>
      </c>
      <c r="M7" s="9">
        <f>1/128*1.6</f>
        <v>1.2500000000000001E-2</v>
      </c>
      <c r="N7" s="8" t="s">
        <v>45</v>
      </c>
      <c r="O7" s="60" t="s">
        <v>45</v>
      </c>
    </row>
    <row r="8" spans="1:18" x14ac:dyDescent="0.2">
      <c r="A8" s="8"/>
      <c r="B8" s="8"/>
      <c r="C8" s="8"/>
      <c r="D8" s="8"/>
      <c r="E8" s="8"/>
      <c r="F8" s="8"/>
      <c r="G8" s="8"/>
      <c r="H8" s="8"/>
      <c r="I8" s="76"/>
      <c r="J8" s="8" t="s">
        <v>48</v>
      </c>
      <c r="K8" s="46">
        <f>$I$7/128*1.9</f>
        <v>0</v>
      </c>
      <c r="L8" s="8"/>
      <c r="M8" s="9">
        <f>1/128*1.9</f>
        <v>1.4843749999999999E-2</v>
      </c>
      <c r="N8" s="8"/>
      <c r="O8" s="60" t="s">
        <v>45</v>
      </c>
    </row>
    <row r="9" spans="1:18" x14ac:dyDescent="0.2">
      <c r="A9" s="8"/>
      <c r="B9" s="8"/>
      <c r="C9" s="8"/>
      <c r="D9" s="8"/>
      <c r="E9" s="8"/>
      <c r="F9" s="8"/>
      <c r="G9" s="8"/>
      <c r="H9" s="8"/>
      <c r="I9" s="76"/>
      <c r="J9" s="8" t="s">
        <v>49</v>
      </c>
      <c r="K9" s="46">
        <f>$I$7/128*2.6</f>
        <v>0</v>
      </c>
      <c r="L9" s="8"/>
      <c r="M9" s="9">
        <f>1/128*2.6</f>
        <v>2.0312500000000001E-2</v>
      </c>
      <c r="N9" s="8"/>
      <c r="O9" s="60" t="s">
        <v>45</v>
      </c>
    </row>
    <row r="10" spans="1:18" ht="17" thickBot="1" x14ac:dyDescent="0.25">
      <c r="A10" s="31"/>
      <c r="B10" s="31"/>
      <c r="C10" s="31"/>
      <c r="D10" s="31"/>
      <c r="E10" s="31"/>
      <c r="F10" s="31"/>
      <c r="G10" s="31"/>
      <c r="H10" s="31"/>
      <c r="I10" s="77"/>
      <c r="J10" s="31" t="s">
        <v>50</v>
      </c>
      <c r="K10" s="47">
        <f>$I$7/128*2.8</f>
        <v>0</v>
      </c>
      <c r="L10" s="31"/>
      <c r="M10" s="32">
        <f>1/128*2.8</f>
        <v>2.1874999999999999E-2</v>
      </c>
      <c r="N10" s="31"/>
      <c r="O10" s="61" t="s">
        <v>45</v>
      </c>
    </row>
    <row r="11" spans="1:18" x14ac:dyDescent="0.2">
      <c r="A11" s="8" t="s">
        <v>129</v>
      </c>
      <c r="B11" s="8" t="s">
        <v>282</v>
      </c>
      <c r="C11" s="8" t="s">
        <v>283</v>
      </c>
      <c r="D11" s="8">
        <v>3</v>
      </c>
      <c r="E11" s="8" t="s">
        <v>96</v>
      </c>
      <c r="F11" s="8" t="s">
        <v>46</v>
      </c>
      <c r="G11" s="8" t="s">
        <v>46</v>
      </c>
      <c r="H11" s="8" t="s">
        <v>2</v>
      </c>
      <c r="I11" s="20">
        <v>0</v>
      </c>
      <c r="J11" s="8" t="s">
        <v>47</v>
      </c>
      <c r="K11" s="46">
        <f>$I$11/128*1.6</f>
        <v>0</v>
      </c>
      <c r="L11" s="8" t="s">
        <v>157</v>
      </c>
      <c r="M11" s="9">
        <f>1/128*1.6</f>
        <v>1.2500000000000001E-2</v>
      </c>
      <c r="N11" s="8" t="s">
        <v>45</v>
      </c>
      <c r="O11" s="60" t="s">
        <v>45</v>
      </c>
    </row>
    <row r="12" spans="1:18" x14ac:dyDescent="0.2">
      <c r="A12" s="8"/>
      <c r="B12" s="8"/>
      <c r="C12" s="8"/>
      <c r="D12" s="8"/>
      <c r="E12" s="8"/>
      <c r="F12" s="8"/>
      <c r="G12" s="8"/>
      <c r="H12" s="8"/>
      <c r="I12" s="8"/>
      <c r="J12" s="8" t="s">
        <v>48</v>
      </c>
      <c r="K12" s="46">
        <f>$I$11/128*1.9</f>
        <v>0</v>
      </c>
      <c r="L12" s="8"/>
      <c r="M12" s="9">
        <f>1/128*1.9</f>
        <v>1.4843749999999999E-2</v>
      </c>
      <c r="N12" s="8"/>
      <c r="O12" s="60" t="s">
        <v>45</v>
      </c>
    </row>
    <row r="13" spans="1:18" x14ac:dyDescent="0.2">
      <c r="A13" s="8"/>
      <c r="B13" s="8"/>
      <c r="C13" s="8"/>
      <c r="D13" s="8"/>
      <c r="E13" s="8"/>
      <c r="F13" s="8"/>
      <c r="G13" s="8"/>
      <c r="H13" s="8"/>
      <c r="I13" s="8"/>
      <c r="J13" s="8" t="s">
        <v>49</v>
      </c>
      <c r="K13" s="46">
        <f>$I$11/128*2.6</f>
        <v>0</v>
      </c>
      <c r="L13" s="8"/>
      <c r="M13" s="9">
        <f>1/128*2.6</f>
        <v>2.0312500000000001E-2</v>
      </c>
      <c r="N13" s="8"/>
      <c r="O13" s="60" t="s">
        <v>45</v>
      </c>
    </row>
    <row r="14" spans="1:18" ht="17" thickBot="1" x14ac:dyDescent="0.25">
      <c r="A14" s="31"/>
      <c r="B14" s="31"/>
      <c r="C14" s="31"/>
      <c r="D14" s="31"/>
      <c r="E14" s="31"/>
      <c r="F14" s="31"/>
      <c r="G14" s="31"/>
      <c r="H14" s="31"/>
      <c r="I14" s="31"/>
      <c r="J14" s="31" t="s">
        <v>50</v>
      </c>
      <c r="K14" s="47">
        <f>$I$11/128*2.8</f>
        <v>0</v>
      </c>
      <c r="L14" s="31"/>
      <c r="M14" s="32">
        <f>1/128*2.8</f>
        <v>2.1874999999999999E-2</v>
      </c>
      <c r="N14" s="31"/>
      <c r="O14" s="61" t="s">
        <v>45</v>
      </c>
    </row>
    <row r="15" spans="1:18" x14ac:dyDescent="0.2">
      <c r="A15" s="8" t="s">
        <v>130</v>
      </c>
      <c r="B15" s="8" t="s">
        <v>284</v>
      </c>
      <c r="C15" s="8" t="s">
        <v>283</v>
      </c>
      <c r="D15" s="8">
        <v>3</v>
      </c>
      <c r="E15" s="8" t="s">
        <v>96</v>
      </c>
      <c r="F15" s="8" t="s">
        <v>46</v>
      </c>
      <c r="G15" s="8" t="s">
        <v>46</v>
      </c>
      <c r="H15" s="8" t="s">
        <v>2</v>
      </c>
      <c r="I15" s="20">
        <v>0</v>
      </c>
      <c r="J15" s="8" t="s">
        <v>47</v>
      </c>
      <c r="K15" s="46">
        <f>$I$15/128*1.6</f>
        <v>0</v>
      </c>
      <c r="L15" s="8" t="s">
        <v>157</v>
      </c>
      <c r="M15" s="9">
        <f>1/128*1.6</f>
        <v>1.2500000000000001E-2</v>
      </c>
      <c r="N15" s="8" t="s">
        <v>45</v>
      </c>
      <c r="O15" s="60" t="s">
        <v>45</v>
      </c>
    </row>
    <row r="16" spans="1:18" x14ac:dyDescent="0.2">
      <c r="A16" s="8"/>
      <c r="B16" s="8"/>
      <c r="C16" s="8"/>
      <c r="D16" s="8"/>
      <c r="E16" s="8"/>
      <c r="F16" s="8"/>
      <c r="G16" s="8"/>
      <c r="H16" s="8"/>
      <c r="I16" s="8"/>
      <c r="J16" s="8" t="s">
        <v>48</v>
      </c>
      <c r="K16" s="46">
        <f>$I$15/128*1.9</f>
        <v>0</v>
      </c>
      <c r="L16" s="8"/>
      <c r="M16" s="9">
        <f>1/128*1.9</f>
        <v>1.4843749999999999E-2</v>
      </c>
      <c r="N16" s="8"/>
      <c r="O16" s="60" t="s">
        <v>45</v>
      </c>
    </row>
    <row r="17" spans="1:15" x14ac:dyDescent="0.2">
      <c r="A17" s="8"/>
      <c r="B17" s="8"/>
      <c r="C17" s="8"/>
      <c r="D17" s="8"/>
      <c r="E17" s="8"/>
      <c r="F17" s="8"/>
      <c r="G17" s="8"/>
      <c r="H17" s="8"/>
      <c r="I17" s="8"/>
      <c r="J17" s="8" t="s">
        <v>49</v>
      </c>
      <c r="K17" s="46">
        <f>$I$15/128*2.6</f>
        <v>0</v>
      </c>
      <c r="L17" s="8"/>
      <c r="M17" s="9">
        <f>1/128*2.6</f>
        <v>2.0312500000000001E-2</v>
      </c>
      <c r="N17" s="8"/>
      <c r="O17" s="60" t="s">
        <v>45</v>
      </c>
    </row>
    <row r="18" spans="1:15" ht="17" thickBot="1" x14ac:dyDescent="0.25">
      <c r="A18" s="31"/>
      <c r="B18" s="31"/>
      <c r="C18" s="31"/>
      <c r="D18" s="31"/>
      <c r="E18" s="31"/>
      <c r="F18" s="31"/>
      <c r="G18" s="31"/>
      <c r="H18" s="31"/>
      <c r="I18" s="31"/>
      <c r="J18" s="31" t="s">
        <v>50</v>
      </c>
      <c r="K18" s="47">
        <f>$I$15/128*2.8</f>
        <v>0</v>
      </c>
      <c r="L18" s="31"/>
      <c r="M18" s="32">
        <f>1/128*2.8</f>
        <v>2.1874999999999999E-2</v>
      </c>
      <c r="N18" s="31"/>
      <c r="O18" s="61" t="s">
        <v>45</v>
      </c>
    </row>
    <row r="19" spans="1:15" x14ac:dyDescent="0.2">
      <c r="A19" s="8" t="s">
        <v>149</v>
      </c>
      <c r="B19" s="8" t="s">
        <v>285</v>
      </c>
      <c r="C19" s="8" t="s">
        <v>286</v>
      </c>
      <c r="D19" s="8">
        <v>3</v>
      </c>
      <c r="E19" s="8" t="s">
        <v>96</v>
      </c>
      <c r="F19" s="8" t="s">
        <v>46</v>
      </c>
      <c r="G19" s="8" t="s">
        <v>46</v>
      </c>
      <c r="H19" s="8" t="s">
        <v>2</v>
      </c>
      <c r="I19" s="78">
        <v>0</v>
      </c>
      <c r="J19" s="8" t="s">
        <v>147</v>
      </c>
      <c r="K19" s="46">
        <f>$I$19/128*1.02</f>
        <v>0</v>
      </c>
      <c r="L19" s="8" t="s">
        <v>158</v>
      </c>
      <c r="M19" s="9">
        <f>1.25/128*1.02</f>
        <v>9.9609374999999993E-3</v>
      </c>
      <c r="N19" s="8" t="s">
        <v>45</v>
      </c>
      <c r="O19" s="60" t="s">
        <v>45</v>
      </c>
    </row>
    <row r="20" spans="1:15" x14ac:dyDescent="0.2">
      <c r="A20" s="8"/>
      <c r="B20" s="8"/>
      <c r="C20" s="8"/>
      <c r="D20" s="8"/>
      <c r="E20" s="8"/>
      <c r="F20" s="8"/>
      <c r="G20" s="8"/>
      <c r="H20" s="8"/>
      <c r="I20" s="8"/>
      <c r="J20" s="8" t="s">
        <v>55</v>
      </c>
      <c r="K20" s="46">
        <f>$I$19/128*1.28</f>
        <v>0</v>
      </c>
      <c r="L20" s="8"/>
      <c r="M20" s="9">
        <f>1.25/128*1.28</f>
        <v>1.2500000000000001E-2</v>
      </c>
      <c r="N20" s="8"/>
      <c r="O20" s="60" t="s">
        <v>45</v>
      </c>
    </row>
    <row r="21" spans="1:15" ht="17" thickBot="1" x14ac:dyDescent="0.25">
      <c r="A21" s="31"/>
      <c r="B21" s="31"/>
      <c r="C21" s="31"/>
      <c r="D21" s="31"/>
      <c r="E21" s="31"/>
      <c r="F21" s="31"/>
      <c r="G21" s="31"/>
      <c r="H21" s="31"/>
      <c r="I21" s="31"/>
      <c r="J21" s="31" t="s">
        <v>148</v>
      </c>
      <c r="K21" s="47">
        <f>$I$19/128*1.54</f>
        <v>0</v>
      </c>
      <c r="L21" s="31"/>
      <c r="M21" s="32">
        <f>1.25/128*1.54</f>
        <v>1.50390625E-2</v>
      </c>
      <c r="N21" s="31"/>
      <c r="O21" s="61" t="s">
        <v>45</v>
      </c>
    </row>
    <row r="22" spans="1:15" ht="17" x14ac:dyDescent="0.2">
      <c r="A22" s="79" t="s">
        <v>190</v>
      </c>
      <c r="B22" s="8" t="s">
        <v>287</v>
      </c>
      <c r="C22" s="8" t="s">
        <v>288</v>
      </c>
      <c r="D22" s="8">
        <v>3</v>
      </c>
      <c r="E22" s="8" t="s">
        <v>96</v>
      </c>
      <c r="F22" s="8" t="s">
        <v>46</v>
      </c>
      <c r="G22" s="8" t="s">
        <v>46</v>
      </c>
      <c r="H22" s="8" t="s">
        <v>2</v>
      </c>
      <c r="I22" s="20">
        <v>0</v>
      </c>
      <c r="J22" s="8" t="s">
        <v>51</v>
      </c>
      <c r="K22" s="46">
        <f>$I$22/128*2.56</f>
        <v>0</v>
      </c>
      <c r="L22" s="8" t="s">
        <v>159</v>
      </c>
      <c r="M22" s="9">
        <f>1/128*2.56</f>
        <v>0.02</v>
      </c>
      <c r="N22" s="8" t="s">
        <v>45</v>
      </c>
      <c r="O22" s="60" t="s">
        <v>45</v>
      </c>
    </row>
    <row r="23" spans="1:15" ht="17" x14ac:dyDescent="0.2">
      <c r="A23" s="79" t="s">
        <v>192</v>
      </c>
      <c r="B23" s="8"/>
      <c r="C23" s="8"/>
      <c r="D23" s="8"/>
      <c r="E23" s="8"/>
      <c r="F23" s="8"/>
      <c r="G23" s="8"/>
      <c r="H23" s="8"/>
      <c r="I23" s="8"/>
      <c r="J23" s="8" t="s">
        <v>138</v>
      </c>
      <c r="K23" s="46">
        <f>$I$22/128*3</f>
        <v>0</v>
      </c>
      <c r="L23" s="8"/>
      <c r="M23" s="9">
        <f>1/128*3</f>
        <v>2.34375E-2</v>
      </c>
      <c r="N23" s="8"/>
      <c r="O23" s="60" t="s">
        <v>45</v>
      </c>
    </row>
    <row r="24" spans="1:15" ht="18" thickBot="1" x14ac:dyDescent="0.25">
      <c r="A24" s="80" t="s">
        <v>191</v>
      </c>
      <c r="B24" s="31"/>
      <c r="C24" s="31"/>
      <c r="D24" s="31"/>
      <c r="E24" s="31"/>
      <c r="F24" s="31"/>
      <c r="G24" s="31"/>
      <c r="H24" s="31"/>
      <c r="I24" s="31"/>
      <c r="J24" s="31" t="s">
        <v>52</v>
      </c>
      <c r="K24" s="47">
        <f>$I$22/128*3.84</f>
        <v>0</v>
      </c>
      <c r="L24" s="31"/>
      <c r="M24" s="32">
        <f>1/128*3.84</f>
        <v>0.03</v>
      </c>
      <c r="N24" s="31"/>
      <c r="O24" s="61" t="s">
        <v>45</v>
      </c>
    </row>
    <row r="25" spans="1:15" x14ac:dyDescent="0.2">
      <c r="A25" s="8" t="s">
        <v>131</v>
      </c>
      <c r="B25" s="8" t="s">
        <v>289</v>
      </c>
      <c r="C25" s="8" t="s">
        <v>290</v>
      </c>
      <c r="D25" s="8">
        <v>3</v>
      </c>
      <c r="E25" s="8" t="s">
        <v>96</v>
      </c>
      <c r="F25" s="8" t="s">
        <v>46</v>
      </c>
      <c r="G25" s="8" t="s">
        <v>46</v>
      </c>
      <c r="H25" s="8" t="s">
        <v>2</v>
      </c>
      <c r="I25" s="20">
        <v>0</v>
      </c>
      <c r="J25" s="8" t="s">
        <v>55</v>
      </c>
      <c r="K25" s="46">
        <f>$I$25/128*1.28</f>
        <v>0</v>
      </c>
      <c r="L25" s="8" t="s">
        <v>159</v>
      </c>
      <c r="M25" s="9">
        <f>2.08/128*1.28</f>
        <v>2.0800000000000003E-2</v>
      </c>
      <c r="N25" s="8" t="s">
        <v>45</v>
      </c>
      <c r="O25" s="60" t="s">
        <v>45</v>
      </c>
    </row>
    <row r="26" spans="1:15" x14ac:dyDescent="0.2">
      <c r="A26" s="8"/>
      <c r="B26" s="8"/>
      <c r="C26" s="8"/>
      <c r="D26" s="8"/>
      <c r="E26" s="8"/>
      <c r="F26" s="8"/>
      <c r="G26" s="8"/>
      <c r="H26" s="8"/>
      <c r="I26" s="8"/>
      <c r="J26" s="8" t="s">
        <v>139</v>
      </c>
      <c r="K26" s="46">
        <f>$I$25/128*1.6</f>
        <v>0</v>
      </c>
      <c r="L26" s="8"/>
      <c r="M26" s="9">
        <f>2.08/128*1.6</f>
        <v>2.6000000000000002E-2</v>
      </c>
      <c r="N26" s="8"/>
      <c r="O26" s="60" t="s">
        <v>45</v>
      </c>
    </row>
    <row r="27" spans="1:15" ht="17" thickBot="1" x14ac:dyDescent="0.25">
      <c r="A27" s="31"/>
      <c r="B27" s="31"/>
      <c r="C27" s="31"/>
      <c r="D27" s="31"/>
      <c r="E27" s="31"/>
      <c r="F27" s="31"/>
      <c r="G27" s="31"/>
      <c r="H27" s="31"/>
      <c r="I27" s="31"/>
      <c r="J27" s="31" t="s">
        <v>56</v>
      </c>
      <c r="K27" s="47">
        <f>$I$25/128*1.92</f>
        <v>0</v>
      </c>
      <c r="L27" s="31"/>
      <c r="M27" s="32">
        <f>2.08/128*1.92</f>
        <v>3.1199999999999999E-2</v>
      </c>
      <c r="N27" s="31"/>
      <c r="O27" s="61" t="s">
        <v>45</v>
      </c>
    </row>
    <row r="28" spans="1:15" x14ac:dyDescent="0.2">
      <c r="A28" s="8" t="s">
        <v>132</v>
      </c>
      <c r="B28" s="8" t="s">
        <v>291</v>
      </c>
      <c r="C28" s="8" t="s">
        <v>292</v>
      </c>
      <c r="D28" s="8">
        <v>3</v>
      </c>
      <c r="E28" s="8" t="s">
        <v>96</v>
      </c>
      <c r="F28" s="8" t="s">
        <v>46</v>
      </c>
      <c r="G28" s="8" t="s">
        <v>46</v>
      </c>
      <c r="H28" s="8" t="s">
        <v>2</v>
      </c>
      <c r="I28" s="20">
        <v>0</v>
      </c>
      <c r="J28" s="8" t="s">
        <v>50</v>
      </c>
      <c r="K28" s="46">
        <f>$I$28/128*2.8</f>
        <v>0</v>
      </c>
      <c r="L28" s="8" t="s">
        <v>160</v>
      </c>
      <c r="M28" s="9">
        <f>0.8/128*2.8</f>
        <v>1.7499999999999998E-2</v>
      </c>
      <c r="N28" s="8" t="s">
        <v>45</v>
      </c>
      <c r="O28" s="60" t="s">
        <v>45</v>
      </c>
    </row>
    <row r="29" spans="1:15" x14ac:dyDescent="0.2">
      <c r="A29" s="8"/>
      <c r="B29" s="8"/>
      <c r="C29" s="8"/>
      <c r="D29" s="8"/>
      <c r="E29" s="8"/>
      <c r="F29" s="8"/>
      <c r="G29" s="8"/>
      <c r="H29" s="8"/>
      <c r="I29" s="8"/>
      <c r="J29" s="8" t="s">
        <v>15</v>
      </c>
      <c r="K29" s="46">
        <f>$I$28/128*3</f>
        <v>0</v>
      </c>
      <c r="L29" s="8"/>
      <c r="M29" s="9">
        <f>0.8/128*3</f>
        <v>1.8750000000000003E-2</v>
      </c>
      <c r="N29" s="8"/>
      <c r="O29" s="60" t="s">
        <v>45</v>
      </c>
    </row>
    <row r="30" spans="1:15" ht="17" thickBot="1" x14ac:dyDescent="0.25">
      <c r="A30" s="31"/>
      <c r="B30" s="31"/>
      <c r="C30" s="31"/>
      <c r="D30" s="31"/>
      <c r="E30" s="31"/>
      <c r="F30" s="31"/>
      <c r="G30" s="31"/>
      <c r="H30" s="31"/>
      <c r="I30" s="31"/>
      <c r="J30" s="31" t="s">
        <v>53</v>
      </c>
      <c r="K30" s="47">
        <f>$I$28/128*4</f>
        <v>0</v>
      </c>
      <c r="L30" s="31"/>
      <c r="M30" s="32">
        <f>0.8/128*4</f>
        <v>2.5000000000000001E-2</v>
      </c>
      <c r="N30" s="31"/>
      <c r="O30" s="61" t="s">
        <v>45</v>
      </c>
    </row>
    <row r="31" spans="1:15" x14ac:dyDescent="0.2">
      <c r="A31" s="5" t="s">
        <v>134</v>
      </c>
      <c r="B31" s="5" t="s">
        <v>293</v>
      </c>
      <c r="C31" s="5" t="s">
        <v>294</v>
      </c>
      <c r="D31" s="5">
        <v>5</v>
      </c>
      <c r="E31" s="5" t="s">
        <v>97</v>
      </c>
      <c r="F31" s="5" t="s">
        <v>146</v>
      </c>
      <c r="G31" s="5" t="s">
        <v>46</v>
      </c>
      <c r="H31" s="5" t="s">
        <v>2</v>
      </c>
      <c r="I31" s="12">
        <v>0</v>
      </c>
      <c r="J31" s="5" t="s">
        <v>86</v>
      </c>
      <c r="K31" s="44">
        <f>$I$31/128*1.1</f>
        <v>0</v>
      </c>
      <c r="L31" s="5" t="s">
        <v>161</v>
      </c>
      <c r="M31" s="7">
        <f>2.91/128*1.1</f>
        <v>2.5007812500000004E-2</v>
      </c>
      <c r="N31" s="5" t="s">
        <v>45</v>
      </c>
      <c r="O31" s="58" t="s">
        <v>45</v>
      </c>
    </row>
    <row r="32" spans="1:15" x14ac:dyDescent="0.2">
      <c r="J32" s="5" t="s">
        <v>88</v>
      </c>
      <c r="K32" s="44">
        <f>$I$31/128*1.7</f>
        <v>0</v>
      </c>
      <c r="M32" s="7">
        <f>2.91/128*1.7</f>
        <v>3.86484375E-2</v>
      </c>
      <c r="O32" s="58" t="s">
        <v>45</v>
      </c>
    </row>
    <row r="33" spans="1:15" ht="17" thickBot="1" x14ac:dyDescent="0.25">
      <c r="A33" s="29"/>
      <c r="B33" s="29"/>
      <c r="C33" s="29"/>
      <c r="D33" s="29"/>
      <c r="E33" s="29"/>
      <c r="F33" s="29"/>
      <c r="G33" s="29"/>
      <c r="H33" s="29"/>
      <c r="I33" s="29"/>
      <c r="J33" s="29" t="s">
        <v>87</v>
      </c>
      <c r="K33" s="45">
        <f>$I$31/128*2.2</f>
        <v>0</v>
      </c>
      <c r="L33" s="29"/>
      <c r="M33" s="30">
        <f>2.91/128*2.2</f>
        <v>5.0015625000000008E-2</v>
      </c>
      <c r="N33" s="29"/>
      <c r="O33" s="59" t="s">
        <v>45</v>
      </c>
    </row>
    <row r="34" spans="1:15" x14ac:dyDescent="0.2">
      <c r="A34" s="5" t="s">
        <v>135</v>
      </c>
      <c r="B34" s="5" t="s">
        <v>295</v>
      </c>
      <c r="C34" s="5" t="s">
        <v>296</v>
      </c>
      <c r="D34" s="5">
        <v>15</v>
      </c>
      <c r="E34" s="5" t="s">
        <v>98</v>
      </c>
      <c r="F34" s="5" t="s">
        <v>46</v>
      </c>
      <c r="G34" s="5" t="s">
        <v>46</v>
      </c>
      <c r="H34" s="5" t="s">
        <v>2</v>
      </c>
      <c r="I34" s="12">
        <v>0</v>
      </c>
      <c r="J34" s="5" t="s">
        <v>57</v>
      </c>
      <c r="K34" s="44">
        <f>$I$34/128*1</f>
        <v>0</v>
      </c>
      <c r="L34" s="5" t="s">
        <v>162</v>
      </c>
      <c r="M34" s="7">
        <f>2/128*1</f>
        <v>1.5625E-2</v>
      </c>
      <c r="N34" s="5" t="s">
        <v>45</v>
      </c>
      <c r="O34" s="58" t="s">
        <v>45</v>
      </c>
    </row>
    <row r="35" spans="1:15" ht="17" thickBot="1" x14ac:dyDescent="0.25">
      <c r="A35" s="29" t="s">
        <v>389</v>
      </c>
      <c r="B35" s="29"/>
      <c r="C35" s="29"/>
      <c r="D35" s="29"/>
      <c r="E35" s="29"/>
      <c r="F35" s="29"/>
      <c r="G35" s="29"/>
      <c r="H35" s="29"/>
      <c r="I35" s="29"/>
      <c r="J35" s="29" t="s">
        <v>58</v>
      </c>
      <c r="K35" s="45">
        <f>$I$34/128*2</f>
        <v>0</v>
      </c>
      <c r="L35" s="29"/>
      <c r="M35" s="30">
        <f>2/128*2</f>
        <v>3.125E-2</v>
      </c>
      <c r="N35" s="29"/>
      <c r="O35" s="59" t="s">
        <v>45</v>
      </c>
    </row>
    <row r="36" spans="1:15" x14ac:dyDescent="0.2">
      <c r="A36" s="5" t="s">
        <v>136</v>
      </c>
      <c r="B36" s="5" t="s">
        <v>297</v>
      </c>
      <c r="C36" s="5" t="s">
        <v>298</v>
      </c>
      <c r="D36" s="5">
        <v>18</v>
      </c>
      <c r="E36" s="5" t="s">
        <v>99</v>
      </c>
      <c r="F36" s="5" t="s">
        <v>146</v>
      </c>
      <c r="G36" s="5" t="s">
        <v>46</v>
      </c>
      <c r="H36" s="5" t="s">
        <v>2</v>
      </c>
      <c r="I36" s="12">
        <v>0</v>
      </c>
      <c r="J36" s="5" t="s">
        <v>7</v>
      </c>
      <c r="K36" s="44">
        <f>$I$36/128*4</f>
        <v>0</v>
      </c>
      <c r="L36" s="5" t="s">
        <v>163</v>
      </c>
      <c r="M36" s="7">
        <f>2/128*4</f>
        <v>6.25E-2</v>
      </c>
      <c r="N36" s="5" t="s">
        <v>45</v>
      </c>
      <c r="O36" s="58" t="s">
        <v>45</v>
      </c>
    </row>
    <row r="37" spans="1:15" x14ac:dyDescent="0.2">
      <c r="J37" s="5" t="s">
        <v>9</v>
      </c>
      <c r="K37" s="44">
        <f>$I$36/128*6</f>
        <v>0</v>
      </c>
      <c r="M37" s="7">
        <f>2/128*6</f>
        <v>9.375E-2</v>
      </c>
      <c r="O37" s="58" t="s">
        <v>45</v>
      </c>
    </row>
    <row r="38" spans="1:15" ht="17" thickBot="1" x14ac:dyDescent="0.25">
      <c r="A38" s="29"/>
      <c r="B38" s="29"/>
      <c r="C38" s="29"/>
      <c r="D38" s="29"/>
      <c r="E38" s="29"/>
      <c r="F38" s="29"/>
      <c r="G38" s="29"/>
      <c r="H38" s="29"/>
      <c r="I38" s="29"/>
      <c r="J38" s="29" t="s">
        <v>60</v>
      </c>
      <c r="K38" s="45">
        <f>$I$36/128*8</f>
        <v>0</v>
      </c>
      <c r="L38" s="29"/>
      <c r="M38" s="30">
        <f>2/128*8</f>
        <v>0.125</v>
      </c>
      <c r="N38" s="29"/>
      <c r="O38" s="59" t="s">
        <v>45</v>
      </c>
    </row>
    <row r="39" spans="1:15" x14ac:dyDescent="0.2">
      <c r="A39" s="10" t="s">
        <v>184</v>
      </c>
      <c r="B39" s="10" t="s">
        <v>299</v>
      </c>
      <c r="C39" s="10" t="s">
        <v>300</v>
      </c>
      <c r="D39" s="10">
        <v>28</v>
      </c>
      <c r="E39" s="10" t="s">
        <v>93</v>
      </c>
      <c r="F39" s="10" t="s">
        <v>46</v>
      </c>
      <c r="G39" s="10" t="s">
        <v>46</v>
      </c>
      <c r="H39" s="10" t="s">
        <v>2</v>
      </c>
      <c r="I39" s="22">
        <v>0</v>
      </c>
      <c r="J39" s="10" t="s">
        <v>186</v>
      </c>
      <c r="K39" s="48">
        <f>$I$39/128*0.7</f>
        <v>0</v>
      </c>
      <c r="L39" s="10" t="s">
        <v>164</v>
      </c>
      <c r="M39" s="11">
        <f>5/128*0.7</f>
        <v>2.734375E-2</v>
      </c>
      <c r="N39" s="10" t="s">
        <v>45</v>
      </c>
      <c r="O39" s="62" t="s">
        <v>45</v>
      </c>
    </row>
    <row r="40" spans="1:15" x14ac:dyDescent="0.2">
      <c r="A40" s="10"/>
      <c r="B40" s="10"/>
      <c r="C40" s="10"/>
      <c r="D40" s="10"/>
      <c r="E40" s="10"/>
      <c r="F40" s="10"/>
      <c r="G40" s="10"/>
      <c r="H40" s="10"/>
      <c r="I40" s="22"/>
      <c r="J40" s="10" t="s">
        <v>185</v>
      </c>
      <c r="K40" s="48">
        <f>$I$39/128*1.2</f>
        <v>0</v>
      </c>
      <c r="L40" s="10"/>
      <c r="M40" s="11">
        <f>5/128*1.2</f>
        <v>4.6875E-2</v>
      </c>
      <c r="N40" s="10"/>
      <c r="O40" s="62" t="s">
        <v>45</v>
      </c>
    </row>
    <row r="41" spans="1:15" x14ac:dyDescent="0.2">
      <c r="A41" s="10"/>
      <c r="B41" s="10"/>
      <c r="C41" s="10"/>
      <c r="D41" s="10"/>
      <c r="E41" s="10"/>
      <c r="F41" s="10"/>
      <c r="G41" s="10"/>
      <c r="H41" s="10"/>
      <c r="I41" s="22"/>
      <c r="J41" s="10" t="s">
        <v>88</v>
      </c>
      <c r="K41" s="48">
        <f>$I$39/128*1.7</f>
        <v>0</v>
      </c>
      <c r="L41" s="10"/>
      <c r="M41" s="11">
        <f>5/128*1.7</f>
        <v>6.640625E-2</v>
      </c>
      <c r="N41" s="10"/>
      <c r="O41" s="62" t="s">
        <v>45</v>
      </c>
    </row>
    <row r="42" spans="1:15" ht="17" thickBot="1" x14ac:dyDescent="0.25">
      <c r="A42" s="33"/>
      <c r="B42" s="33"/>
      <c r="C42" s="33"/>
      <c r="D42" s="33"/>
      <c r="E42" s="33"/>
      <c r="F42" s="33"/>
      <c r="G42" s="33"/>
      <c r="H42" s="33"/>
      <c r="I42" s="33"/>
      <c r="J42" s="33" t="s">
        <v>14</v>
      </c>
      <c r="K42" s="49">
        <f>$I$39/128*2.5</f>
        <v>0</v>
      </c>
      <c r="L42" s="33"/>
      <c r="M42" s="34">
        <f>5/128*2.5</f>
        <v>9.765625E-2</v>
      </c>
      <c r="N42" s="33"/>
      <c r="O42" s="63" t="s">
        <v>45</v>
      </c>
    </row>
    <row r="43" spans="1:15" x14ac:dyDescent="0.2">
      <c r="A43" s="10" t="s">
        <v>391</v>
      </c>
      <c r="B43" s="10" t="s">
        <v>392</v>
      </c>
      <c r="C43" s="10" t="s">
        <v>393</v>
      </c>
      <c r="D43" s="10">
        <v>28</v>
      </c>
      <c r="E43" s="10" t="s">
        <v>93</v>
      </c>
      <c r="F43" s="10" t="s">
        <v>46</v>
      </c>
      <c r="G43" s="10" t="s">
        <v>46</v>
      </c>
      <c r="H43" s="10" t="s">
        <v>2</v>
      </c>
      <c r="I43" s="22">
        <v>0</v>
      </c>
      <c r="J43" s="10" t="s">
        <v>88</v>
      </c>
      <c r="K43" s="48">
        <f>$I$43/128*1.7</f>
        <v>0</v>
      </c>
      <c r="L43" s="10" t="s">
        <v>164</v>
      </c>
      <c r="M43" s="11">
        <f>3.33/128*1.7</f>
        <v>4.4226562499999997E-2</v>
      </c>
      <c r="N43" s="10" t="s">
        <v>45</v>
      </c>
      <c r="O43" s="62" t="s">
        <v>45</v>
      </c>
    </row>
    <row r="44" spans="1:15" x14ac:dyDescent="0.2">
      <c r="A44" s="10"/>
      <c r="B44" s="10"/>
      <c r="C44" s="10"/>
      <c r="D44" s="10"/>
      <c r="E44" s="10"/>
      <c r="F44" s="10"/>
      <c r="G44" s="10"/>
      <c r="H44" s="10"/>
      <c r="I44" s="22"/>
      <c r="J44" s="10" t="s">
        <v>13</v>
      </c>
      <c r="K44" s="48">
        <f>$I$43/128*2</f>
        <v>0</v>
      </c>
      <c r="L44" s="10"/>
      <c r="M44" s="11">
        <f>3.33/128*2</f>
        <v>5.2031250000000001E-2</v>
      </c>
      <c r="N44" s="10"/>
      <c r="O44" s="62" t="s">
        <v>45</v>
      </c>
    </row>
    <row r="45" spans="1:15" x14ac:dyDescent="0.2">
      <c r="A45" s="10"/>
      <c r="B45" s="10"/>
      <c r="C45" s="10"/>
      <c r="D45" s="10"/>
      <c r="E45" s="10"/>
      <c r="F45" s="10"/>
      <c r="G45" s="10"/>
      <c r="H45" s="10"/>
      <c r="I45" s="22"/>
      <c r="J45" s="10" t="s">
        <v>15</v>
      </c>
      <c r="K45" s="48">
        <f>$I$43/128*3</f>
        <v>0</v>
      </c>
      <c r="L45" s="10"/>
      <c r="M45" s="11">
        <f>3.33/128*3</f>
        <v>7.8046875000000002E-2</v>
      </c>
      <c r="N45" s="10"/>
      <c r="O45" s="62" t="s">
        <v>45</v>
      </c>
    </row>
    <row r="46" spans="1:15" ht="17" thickBot="1" x14ac:dyDescent="0.25">
      <c r="A46" s="33"/>
      <c r="B46" s="33"/>
      <c r="C46" s="33"/>
      <c r="D46" s="33"/>
      <c r="E46" s="33"/>
      <c r="F46" s="33"/>
      <c r="G46" s="33"/>
      <c r="H46" s="33"/>
      <c r="I46" s="33"/>
      <c r="J46" s="33" t="s">
        <v>394</v>
      </c>
      <c r="K46" s="49">
        <f>$I$43/128*3.8</f>
        <v>0</v>
      </c>
      <c r="L46" s="33"/>
      <c r="M46" s="34">
        <f>3.33/128*3.8</f>
        <v>9.8859374999999999E-2</v>
      </c>
      <c r="N46" s="33"/>
      <c r="O46" s="63" t="s">
        <v>45</v>
      </c>
    </row>
    <row r="47" spans="1:15" x14ac:dyDescent="0.2">
      <c r="A47" s="10" t="s">
        <v>137</v>
      </c>
      <c r="B47" s="10" t="s">
        <v>301</v>
      </c>
      <c r="C47" s="10" t="s">
        <v>302</v>
      </c>
      <c r="D47" s="10">
        <v>28</v>
      </c>
      <c r="E47" s="10" t="s">
        <v>93</v>
      </c>
      <c r="F47" s="10" t="s">
        <v>46</v>
      </c>
      <c r="G47" s="10" t="s">
        <v>46</v>
      </c>
      <c r="H47" s="10" t="s">
        <v>2</v>
      </c>
      <c r="I47" s="22">
        <v>0</v>
      </c>
      <c r="J47" s="10" t="s">
        <v>58</v>
      </c>
      <c r="K47" s="48">
        <f>$I$47/128*2</f>
        <v>0</v>
      </c>
      <c r="L47" s="10" t="s">
        <v>164</v>
      </c>
      <c r="M47" s="11">
        <f>1.67/128*2</f>
        <v>2.6093749999999999E-2</v>
      </c>
      <c r="N47" s="10" t="s">
        <v>45</v>
      </c>
      <c r="O47" s="62" t="s">
        <v>45</v>
      </c>
    </row>
    <row r="48" spans="1:15" ht="17" thickBot="1" x14ac:dyDescent="0.25">
      <c r="A48" s="33"/>
      <c r="B48" s="33"/>
      <c r="C48" s="33"/>
      <c r="D48" s="33"/>
      <c r="E48" s="33"/>
      <c r="F48" s="33"/>
      <c r="G48" s="33"/>
      <c r="H48" s="33"/>
      <c r="I48" s="33"/>
      <c r="J48" s="33" t="s">
        <v>7</v>
      </c>
      <c r="K48" s="49">
        <f>$I$47/128*4</f>
        <v>0</v>
      </c>
      <c r="L48" s="33"/>
      <c r="M48" s="34">
        <f>1.67/128*4</f>
        <v>5.2187499999999998E-2</v>
      </c>
      <c r="N48" s="33"/>
      <c r="O48" s="63" t="s">
        <v>45</v>
      </c>
    </row>
    <row r="49" spans="1:17" x14ac:dyDescent="0.2">
      <c r="A49" s="10" t="s">
        <v>133</v>
      </c>
      <c r="B49" s="10" t="s">
        <v>303</v>
      </c>
      <c r="C49" s="10" t="s">
        <v>304</v>
      </c>
      <c r="D49" s="10">
        <v>28</v>
      </c>
      <c r="E49" s="10" t="s">
        <v>93</v>
      </c>
      <c r="F49" s="10" t="s">
        <v>46</v>
      </c>
      <c r="G49" s="10" t="s">
        <v>46</v>
      </c>
      <c r="H49" s="10" t="s">
        <v>2</v>
      </c>
      <c r="I49" s="22">
        <v>0</v>
      </c>
      <c r="J49" s="10" t="s">
        <v>9</v>
      </c>
      <c r="K49" s="48">
        <f>$I$49/128*6</f>
        <v>0</v>
      </c>
      <c r="L49" s="10" t="s">
        <v>164</v>
      </c>
      <c r="M49" s="11">
        <f>0.835/128*6</f>
        <v>3.9140624999999998E-2</v>
      </c>
      <c r="N49" s="10" t="s">
        <v>159</v>
      </c>
      <c r="O49" s="62">
        <f>0.417/128*6</f>
        <v>1.9546874999999998E-2</v>
      </c>
    </row>
    <row r="50" spans="1:17" ht="17" thickBot="1" x14ac:dyDescent="0.25">
      <c r="A50" s="33"/>
      <c r="B50" s="33" t="s">
        <v>305</v>
      </c>
      <c r="C50" s="33" t="s">
        <v>306</v>
      </c>
      <c r="D50" s="33">
        <v>3</v>
      </c>
      <c r="E50" s="33" t="s">
        <v>96</v>
      </c>
      <c r="F50" s="33"/>
      <c r="G50" s="33"/>
      <c r="H50" s="33"/>
      <c r="I50" s="33"/>
      <c r="J50" s="33" t="s">
        <v>100</v>
      </c>
      <c r="K50" s="49">
        <f>$I$49/128*10</f>
        <v>0</v>
      </c>
      <c r="L50" s="33"/>
      <c r="M50" s="34">
        <f>0.835/128*10</f>
        <v>6.5234374999999997E-2</v>
      </c>
      <c r="N50" s="33"/>
      <c r="O50" s="63">
        <f>0.417/128*10</f>
        <v>3.2578124999999999E-2</v>
      </c>
    </row>
    <row r="51" spans="1:17" x14ac:dyDescent="0.2"/>
    <row r="52" spans="1:17" x14ac:dyDescent="0.2">
      <c r="O52" s="18"/>
      <c r="Q52" s="5"/>
    </row>
    <row r="53" spans="1:17" x14ac:dyDescent="0.2">
      <c r="A53" s="99" t="s">
        <v>316</v>
      </c>
      <c r="O53" s="18"/>
      <c r="Q53" s="5"/>
    </row>
    <row r="54" spans="1:17" x14ac:dyDescent="0.2">
      <c r="A54" s="109" t="s">
        <v>320</v>
      </c>
      <c r="B54" s="109"/>
      <c r="C54" s="109"/>
      <c r="D54" s="109"/>
      <c r="E54" s="109"/>
      <c r="F54" s="109"/>
      <c r="G54" s="109"/>
      <c r="H54" s="109"/>
      <c r="I54" s="109"/>
      <c r="J54" s="109"/>
      <c r="K54" s="109"/>
      <c r="L54" s="109"/>
      <c r="M54" s="109"/>
      <c r="O54" s="18"/>
      <c r="Q54" s="5"/>
    </row>
    <row r="55" spans="1:17" x14ac:dyDescent="0.2"/>
    <row r="56" spans="1:17" x14ac:dyDescent="0.2">
      <c r="A56" s="18" t="s">
        <v>326</v>
      </c>
    </row>
    <row r="57" spans="1:17" x14ac:dyDescent="0.2"/>
    <row r="58" spans="1:17" x14ac:dyDescent="0.2">
      <c r="A58" s="18" t="s">
        <v>335</v>
      </c>
    </row>
    <row r="59" spans="1:17" x14ac:dyDescent="0.2"/>
    <row r="60" spans="1:17" x14ac:dyDescent="0.2"/>
    <row r="61" spans="1:17" x14ac:dyDescent="0.2"/>
    <row r="62" spans="1:17" x14ac:dyDescent="0.2"/>
    <row r="63" spans="1:17" x14ac:dyDescent="0.2"/>
    <row r="64" spans="1:17" x14ac:dyDescent="0.2"/>
  </sheetData>
  <sheetProtection algorithmName="SHA-512" hashValue="k0wCnnAFZZPLfqxxr6utZ0CKGJ/R88fXbBvuUo7rP7/UBYZo0WY27va27HOYlFFoVA01K4RL2Pgx7T0d+PG8TQ==" saltValue="JnFVM0+V5YwJixG2ozHWRA==" spinCount="100000" sheet="1" objects="1" scenarios="1"/>
  <mergeCells count="1">
    <mergeCell ref="A54:M54"/>
  </mergeCells>
  <phoneticPr fontId="3" type="noConversion"/>
  <pageMargins left="0.75" right="0.75" top="1.25" bottom="1" header="0.5" footer="0.5"/>
  <pageSetup scale="42" fitToHeight="8" orientation="landscape" horizontalDpi="4294967292" verticalDpi="4294967292"/>
  <headerFooter>
    <oddHeader>&amp;C&amp;"Calibri,Regular"&amp;K000000Insecticide Cost per Acre Spreadsheet for Pastures and Hayfields
Texas A&amp;M AgriLife Extension
J.P. Banta and V. Corriher-Olson</oddHead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89B1C-B116-1946-868D-D6530F8F5F8D}">
  <sheetPr>
    <pageSetUpPr fitToPage="1"/>
  </sheetPr>
  <dimension ref="A1:H30"/>
  <sheetViews>
    <sheetView zoomScale="130" zoomScaleNormal="130" workbookViewId="0">
      <pane ySplit="1" topLeftCell="A2" activePane="bottomLeft" state="frozen"/>
      <selection pane="bottomLeft" activeCell="F2" sqref="F2:F6"/>
    </sheetView>
  </sheetViews>
  <sheetFormatPr baseColWidth="10" defaultColWidth="0" defaultRowHeight="16" zeroHeight="1" x14ac:dyDescent="0.2"/>
  <cols>
    <col min="1" max="1" width="30.83203125" style="69" customWidth="1"/>
    <col min="2" max="3" width="15.83203125" style="5" customWidth="1"/>
    <col min="4" max="5" width="25.83203125" style="5" customWidth="1"/>
    <col min="6" max="6" width="15.83203125" style="5" customWidth="1"/>
    <col min="7" max="7" width="40.83203125" style="69" customWidth="1"/>
    <col min="8" max="8" width="10.83203125" style="69" customWidth="1"/>
    <col min="9" max="16384" width="10.83203125" style="69" hidden="1"/>
  </cols>
  <sheetData>
    <row r="1" spans="1:7" s="84" customFormat="1" ht="64" customHeight="1" thickBot="1" x14ac:dyDescent="0.25">
      <c r="A1" s="25" t="s">
        <v>1</v>
      </c>
      <c r="B1" s="25" t="s">
        <v>307</v>
      </c>
      <c r="C1" s="25" t="s">
        <v>308</v>
      </c>
      <c r="D1" s="25" t="s">
        <v>323</v>
      </c>
      <c r="E1" s="25" t="s">
        <v>193</v>
      </c>
      <c r="F1" s="25" t="s">
        <v>194</v>
      </c>
      <c r="G1" s="25" t="s">
        <v>176</v>
      </c>
    </row>
    <row r="2" spans="1:7" x14ac:dyDescent="0.2">
      <c r="A2" s="85" t="s">
        <v>1</v>
      </c>
      <c r="B2" s="86">
        <v>8</v>
      </c>
      <c r="C2" s="12">
        <v>17</v>
      </c>
      <c r="D2" s="85">
        <v>0.5</v>
      </c>
      <c r="E2" s="87">
        <f>$C$2/8*D2</f>
        <v>1.0625</v>
      </c>
      <c r="F2" s="81">
        <f>E2/(100/$B$2)</f>
        <v>8.5000000000000006E-2</v>
      </c>
      <c r="G2" s="88" t="s">
        <v>334</v>
      </c>
    </row>
    <row r="3" spans="1:7" x14ac:dyDescent="0.2">
      <c r="A3" s="89"/>
      <c r="C3" s="90"/>
      <c r="D3" s="85">
        <v>1</v>
      </c>
      <c r="E3" s="87">
        <f>$C$2/8*D3</f>
        <v>2.125</v>
      </c>
      <c r="F3" s="82">
        <f t="shared" ref="F3:F6" si="0">E3/(100/$B$2)</f>
        <v>0.17</v>
      </c>
      <c r="G3" s="91" t="s">
        <v>180</v>
      </c>
    </row>
    <row r="4" spans="1:7" x14ac:dyDescent="0.2">
      <c r="A4" s="89"/>
      <c r="C4" s="90"/>
      <c r="D4" s="85">
        <v>2</v>
      </c>
      <c r="E4" s="87">
        <f>$C$2/8*D4</f>
        <v>4.25</v>
      </c>
      <c r="F4" s="82">
        <f t="shared" si="0"/>
        <v>0.34</v>
      </c>
      <c r="G4" s="91" t="s">
        <v>174</v>
      </c>
    </row>
    <row r="5" spans="1:7" x14ac:dyDescent="0.2">
      <c r="A5" s="5"/>
      <c r="D5" s="85">
        <v>3</v>
      </c>
      <c r="E5" s="87">
        <f>$C$2/8*D5</f>
        <v>6.375</v>
      </c>
      <c r="F5" s="82">
        <f t="shared" si="0"/>
        <v>0.51</v>
      </c>
      <c r="G5" s="91" t="s">
        <v>181</v>
      </c>
    </row>
    <row r="6" spans="1:7" ht="17" thickBot="1" x14ac:dyDescent="0.25">
      <c r="A6" s="29"/>
      <c r="B6" s="29"/>
      <c r="C6" s="29"/>
      <c r="D6" s="92">
        <v>4</v>
      </c>
      <c r="E6" s="93">
        <f>$C$2/8*D6</f>
        <v>8.5</v>
      </c>
      <c r="F6" s="83">
        <f t="shared" si="0"/>
        <v>0.68</v>
      </c>
      <c r="G6" s="94"/>
    </row>
    <row r="7" spans="1:7" x14ac:dyDescent="0.2">
      <c r="A7" s="85" t="s">
        <v>1</v>
      </c>
      <c r="B7" s="86">
        <v>10</v>
      </c>
      <c r="C7" s="12">
        <v>17</v>
      </c>
      <c r="D7" s="85">
        <v>0.5</v>
      </c>
      <c r="E7" s="87">
        <f>$C$7/8*D7</f>
        <v>1.0625</v>
      </c>
      <c r="F7" s="82">
        <f>E7/(100/$B$7)</f>
        <v>0.10625</v>
      </c>
      <c r="G7" s="91" t="s">
        <v>175</v>
      </c>
    </row>
    <row r="8" spans="1:7" x14ac:dyDescent="0.2">
      <c r="A8" s="89"/>
      <c r="C8" s="90"/>
      <c r="D8" s="85">
        <v>1</v>
      </c>
      <c r="E8" s="87">
        <f>$C$7/8*D8</f>
        <v>2.125</v>
      </c>
      <c r="F8" s="82">
        <f>E8/(100/$B$7)</f>
        <v>0.21249999999999999</v>
      </c>
      <c r="G8" s="91"/>
    </row>
    <row r="9" spans="1:7" x14ac:dyDescent="0.2">
      <c r="A9" s="89"/>
      <c r="C9" s="90"/>
      <c r="D9" s="85">
        <v>2</v>
      </c>
      <c r="E9" s="87">
        <f>$C$7/8*D9</f>
        <v>4.25</v>
      </c>
      <c r="F9" s="82">
        <f>E9/(100/$B$7)</f>
        <v>0.42499999999999999</v>
      </c>
      <c r="G9" s="91"/>
    </row>
    <row r="10" spans="1:7" x14ac:dyDescent="0.2">
      <c r="A10" s="5"/>
      <c r="D10" s="85">
        <v>3</v>
      </c>
      <c r="E10" s="87">
        <f>$C$7/8*D10</f>
        <v>6.375</v>
      </c>
      <c r="F10" s="82">
        <f>E10/(100/$B$7)</f>
        <v>0.63749999999999996</v>
      </c>
      <c r="G10" s="91"/>
    </row>
    <row r="11" spans="1:7" ht="17" thickBot="1" x14ac:dyDescent="0.25">
      <c r="A11" s="29"/>
      <c r="B11" s="29"/>
      <c r="C11" s="29"/>
      <c r="D11" s="92">
        <v>4</v>
      </c>
      <c r="E11" s="93">
        <f>$C$7/8*D11</f>
        <v>8.5</v>
      </c>
      <c r="F11" s="83">
        <f>E11/(100/$B$7)</f>
        <v>0.85</v>
      </c>
      <c r="G11" s="94"/>
    </row>
    <row r="12" spans="1:7" x14ac:dyDescent="0.2">
      <c r="A12" s="85" t="s">
        <v>1</v>
      </c>
      <c r="B12" s="86">
        <v>15</v>
      </c>
      <c r="C12" s="12">
        <v>20</v>
      </c>
      <c r="D12" s="85">
        <v>4</v>
      </c>
      <c r="E12" s="87">
        <f>$C$12/8*D12</f>
        <v>10</v>
      </c>
      <c r="F12" s="82">
        <f>E12/(100/$B$12)</f>
        <v>1.5</v>
      </c>
      <c r="G12" s="91" t="s">
        <v>177</v>
      </c>
    </row>
    <row r="13" spans="1:7" x14ac:dyDescent="0.2">
      <c r="A13" s="89"/>
      <c r="C13" s="90"/>
      <c r="D13" s="85">
        <v>5</v>
      </c>
      <c r="E13" s="87">
        <f>$C$12/8*D13</f>
        <v>12.5</v>
      </c>
      <c r="F13" s="82">
        <f>E13/(100/$B$12)</f>
        <v>1.875</v>
      </c>
      <c r="G13" s="91"/>
    </row>
    <row r="14" spans="1:7" x14ac:dyDescent="0.2">
      <c r="A14" s="89"/>
      <c r="C14" s="90"/>
      <c r="D14" s="85">
        <v>6</v>
      </c>
      <c r="E14" s="87">
        <f>$C$12/8*D14</f>
        <v>15</v>
      </c>
      <c r="F14" s="82">
        <f>E14/(100/$B$12)</f>
        <v>2.25</v>
      </c>
      <c r="G14" s="91"/>
    </row>
    <row r="15" spans="1:7" x14ac:dyDescent="0.2">
      <c r="A15" s="5"/>
      <c r="D15" s="85">
        <v>7</v>
      </c>
      <c r="E15" s="87">
        <f>$C$12/8*D15</f>
        <v>17.5</v>
      </c>
      <c r="F15" s="82">
        <f>E15/(100/$B$12)</f>
        <v>2.625</v>
      </c>
      <c r="G15" s="91"/>
    </row>
    <row r="16" spans="1:7" ht="17" thickBot="1" x14ac:dyDescent="0.25">
      <c r="A16" s="29"/>
      <c r="B16" s="29"/>
      <c r="C16" s="29"/>
      <c r="D16" s="92">
        <v>8</v>
      </c>
      <c r="E16" s="93">
        <f>$C$12/8*D16</f>
        <v>20</v>
      </c>
      <c r="F16" s="83">
        <f>E16/(100/$B$12)</f>
        <v>3</v>
      </c>
      <c r="G16" s="94"/>
    </row>
    <row r="17" spans="1:7" x14ac:dyDescent="0.2">
      <c r="A17" s="85" t="s">
        <v>1</v>
      </c>
      <c r="B17" s="86">
        <v>20</v>
      </c>
      <c r="C17" s="12">
        <v>22</v>
      </c>
      <c r="D17" s="85">
        <v>4</v>
      </c>
      <c r="E17" s="87">
        <f>$C$17/8*D17</f>
        <v>11</v>
      </c>
      <c r="F17" s="82">
        <f>E17/(100/$B$17)</f>
        <v>2.2000000000000002</v>
      </c>
      <c r="G17" s="91" t="s">
        <v>177</v>
      </c>
    </row>
    <row r="18" spans="1:7" x14ac:dyDescent="0.2">
      <c r="A18" s="89"/>
      <c r="C18" s="90"/>
      <c r="D18" s="85">
        <v>5</v>
      </c>
      <c r="E18" s="87">
        <f>$C$17/8*D18</f>
        <v>13.75</v>
      </c>
      <c r="F18" s="82">
        <f>E18/(100/$B$17)</f>
        <v>2.75</v>
      </c>
      <c r="G18" s="91"/>
    </row>
    <row r="19" spans="1:7" x14ac:dyDescent="0.2">
      <c r="A19" s="89"/>
      <c r="C19" s="90"/>
      <c r="D19" s="85">
        <v>6</v>
      </c>
      <c r="E19" s="87">
        <f>$C$17/8*D19</f>
        <v>16.5</v>
      </c>
      <c r="F19" s="82">
        <f>E19/(100/$B$17)</f>
        <v>3.3</v>
      </c>
      <c r="G19" s="91"/>
    </row>
    <row r="20" spans="1:7" x14ac:dyDescent="0.2">
      <c r="A20" s="5"/>
      <c r="D20" s="85">
        <v>7</v>
      </c>
      <c r="E20" s="87">
        <f>$C$17/8*D20</f>
        <v>19.25</v>
      </c>
      <c r="F20" s="82">
        <f>E20/(100/$B$17)</f>
        <v>3.85</v>
      </c>
      <c r="G20" s="91"/>
    </row>
    <row r="21" spans="1:7" ht="17" thickBot="1" x14ac:dyDescent="0.25">
      <c r="A21" s="29"/>
      <c r="B21" s="29"/>
      <c r="C21" s="29"/>
      <c r="D21" s="92">
        <v>8</v>
      </c>
      <c r="E21" s="93">
        <f>$C$17/8*D21</f>
        <v>22</v>
      </c>
      <c r="F21" s="83">
        <f>E21/(100/$B$17)</f>
        <v>4.4000000000000004</v>
      </c>
      <c r="G21" s="94"/>
    </row>
    <row r="22" spans="1:7" x14ac:dyDescent="0.2"/>
    <row r="23" spans="1:7" x14ac:dyDescent="0.2"/>
    <row r="24" spans="1:7" s="95" customFormat="1" x14ac:dyDescent="0.2">
      <c r="B24" s="96"/>
      <c r="C24" s="96"/>
      <c r="D24" s="96"/>
      <c r="E24" s="96"/>
      <c r="F24" s="96"/>
    </row>
    <row r="25" spans="1:7" x14ac:dyDescent="0.2"/>
    <row r="26" spans="1:7" x14ac:dyDescent="0.2"/>
    <row r="27" spans="1:7" x14ac:dyDescent="0.2"/>
    <row r="28" spans="1:7" x14ac:dyDescent="0.2"/>
    <row r="29" spans="1:7" x14ac:dyDescent="0.2"/>
    <row r="30" spans="1:7" x14ac:dyDescent="0.2"/>
  </sheetData>
  <sheetProtection algorithmName="SHA-512" hashValue="8IsscjOgji/wL2kczaMrQviLj+zCdNlN8AXWfB4eykx26QxDfTQ/8wowIWa3zBWEn6pflJ5xkIxvOMEy3jUxfQ==" saltValue="a91jkTn+N9rRy6ORUGLUWQ==" spinCount="100000" sheet="1" objects="1" scenarios="1"/>
  <pageMargins left="0.75" right="0.75" top="1.25" bottom="1" header="0.5" footer="0.5"/>
  <pageSetup scale="71" fitToHeight="8" orientation="landscape" horizontalDpi="4294967292" verticalDpi="4294967292"/>
  <headerFooter>
    <oddHeader>&amp;C&amp;"Calibri,Regular"&amp;K000000Adjuvant Cost per Acre Spreadsheet for Pastures and Hayfields
Texas A&amp;M AgriLife Extension
J.P. Banta and V. Corriher-Olson</oddHeader>
  </headerFooter>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29"/>
  <sheetViews>
    <sheetView zoomScale="130" zoomScaleNormal="130" zoomScalePageLayoutView="125" workbookViewId="0">
      <selection activeCell="A30" sqref="A30:XFD1048576"/>
    </sheetView>
  </sheetViews>
  <sheetFormatPr baseColWidth="10" defaultColWidth="0" defaultRowHeight="16" zeroHeight="1" x14ac:dyDescent="0.2"/>
  <cols>
    <col min="1" max="1" width="18.33203125" style="5" customWidth="1"/>
    <col min="2" max="5" width="10.83203125" style="5" customWidth="1"/>
    <col min="6" max="10" width="10.83203125" style="69" customWidth="1"/>
    <col min="11" max="16384" width="10.83203125" style="69" hidden="1"/>
  </cols>
  <sheetData>
    <row r="1" spans="1:8" x14ac:dyDescent="0.2">
      <c r="B1" s="111" t="s">
        <v>197</v>
      </c>
      <c r="C1" s="111"/>
      <c r="D1" s="111"/>
      <c r="E1" s="111"/>
      <c r="F1" s="111"/>
      <c r="G1" s="111"/>
      <c r="H1" s="111"/>
    </row>
    <row r="2" spans="1:8" x14ac:dyDescent="0.2">
      <c r="B2" s="70" t="s">
        <v>79</v>
      </c>
      <c r="C2" s="70" t="s">
        <v>80</v>
      </c>
      <c r="D2" s="70" t="s">
        <v>81</v>
      </c>
      <c r="E2" s="70" t="s">
        <v>82</v>
      </c>
      <c r="F2" s="70" t="s">
        <v>83</v>
      </c>
      <c r="G2" s="70" t="s">
        <v>84</v>
      </c>
      <c r="H2" s="70" t="s">
        <v>85</v>
      </c>
    </row>
    <row r="3" spans="1:8" ht="17" thickBot="1" x14ac:dyDescent="0.25">
      <c r="A3" s="71" t="s">
        <v>196</v>
      </c>
      <c r="B3" s="110" t="s">
        <v>198</v>
      </c>
      <c r="C3" s="110"/>
      <c r="D3" s="110"/>
      <c r="E3" s="110"/>
      <c r="F3" s="110"/>
      <c r="G3" s="110"/>
      <c r="H3" s="110"/>
    </row>
    <row r="4" spans="1:8" x14ac:dyDescent="0.2">
      <c r="A4" s="5">
        <v>10</v>
      </c>
      <c r="B4" s="72">
        <f>2*5280*A4/43560</f>
        <v>2.4242424242424243</v>
      </c>
      <c r="C4" s="72">
        <f>3*5280*A4/43560</f>
        <v>3.6363636363636362</v>
      </c>
      <c r="D4" s="72">
        <f>4*5280*A4/43560</f>
        <v>4.8484848484848486</v>
      </c>
      <c r="E4" s="72">
        <f>5*5280*A4/43560</f>
        <v>6.0606060606060606</v>
      </c>
      <c r="F4" s="72">
        <f>6*5280*A4/43560</f>
        <v>7.2727272727272725</v>
      </c>
      <c r="G4" s="72">
        <f>7*5280*A4/43560</f>
        <v>8.4848484848484844</v>
      </c>
      <c r="H4" s="72">
        <f>8*5280*A4/43560</f>
        <v>9.6969696969696972</v>
      </c>
    </row>
    <row r="5" spans="1:8" x14ac:dyDescent="0.2">
      <c r="A5" s="73">
        <v>12</v>
      </c>
      <c r="B5" s="74">
        <f>2*5280*A5/43560</f>
        <v>2.9090909090909092</v>
      </c>
      <c r="C5" s="74">
        <f t="shared" ref="C5:C24" si="0">3*5280*A5/43560</f>
        <v>4.3636363636363633</v>
      </c>
      <c r="D5" s="74">
        <f t="shared" ref="D5:D24" si="1">4*5280*A5/43560</f>
        <v>5.8181818181818183</v>
      </c>
      <c r="E5" s="74">
        <f t="shared" ref="E5:E24" si="2">5*5280*A5/43560</f>
        <v>7.2727272727272725</v>
      </c>
      <c r="F5" s="74">
        <f t="shared" ref="F5:F24" si="3">6*5280*A5/43560</f>
        <v>8.7272727272727266</v>
      </c>
      <c r="G5" s="74">
        <f t="shared" ref="G5:G24" si="4">7*5280*A5/43560</f>
        <v>10.181818181818182</v>
      </c>
      <c r="H5" s="74">
        <f t="shared" ref="H5:H24" si="5">8*5280*A5/43560</f>
        <v>11.636363636363637</v>
      </c>
    </row>
    <row r="6" spans="1:8" x14ac:dyDescent="0.2">
      <c r="A6" s="5">
        <v>14</v>
      </c>
      <c r="B6" s="72">
        <f t="shared" ref="B6:B24" si="6">2*5280*A6/43560</f>
        <v>3.393939393939394</v>
      </c>
      <c r="C6" s="72">
        <f t="shared" si="0"/>
        <v>5.0909090909090908</v>
      </c>
      <c r="D6" s="72">
        <f t="shared" si="1"/>
        <v>6.7878787878787881</v>
      </c>
      <c r="E6" s="72">
        <f t="shared" si="2"/>
        <v>8.4848484848484844</v>
      </c>
      <c r="F6" s="72">
        <f t="shared" si="3"/>
        <v>10.181818181818182</v>
      </c>
      <c r="G6" s="72">
        <f t="shared" si="4"/>
        <v>11.878787878787879</v>
      </c>
      <c r="H6" s="72">
        <f t="shared" si="5"/>
        <v>13.575757575757576</v>
      </c>
    </row>
    <row r="7" spans="1:8" x14ac:dyDescent="0.2">
      <c r="A7" s="73">
        <v>16</v>
      </c>
      <c r="B7" s="74">
        <f t="shared" si="6"/>
        <v>3.8787878787878789</v>
      </c>
      <c r="C7" s="74">
        <f t="shared" si="0"/>
        <v>5.8181818181818183</v>
      </c>
      <c r="D7" s="74">
        <f t="shared" si="1"/>
        <v>7.7575757575757578</v>
      </c>
      <c r="E7" s="74">
        <f t="shared" si="2"/>
        <v>9.6969696969696972</v>
      </c>
      <c r="F7" s="74">
        <f t="shared" si="3"/>
        <v>11.636363636363637</v>
      </c>
      <c r="G7" s="74">
        <f t="shared" si="4"/>
        <v>13.575757575757576</v>
      </c>
      <c r="H7" s="74">
        <f t="shared" si="5"/>
        <v>15.515151515151516</v>
      </c>
    </row>
    <row r="8" spans="1:8" x14ac:dyDescent="0.2">
      <c r="A8" s="5">
        <v>18</v>
      </c>
      <c r="B8" s="72">
        <f t="shared" si="6"/>
        <v>4.3636363636363633</v>
      </c>
      <c r="C8" s="72">
        <f t="shared" si="0"/>
        <v>6.5454545454545459</v>
      </c>
      <c r="D8" s="72">
        <f t="shared" si="1"/>
        <v>8.7272727272727266</v>
      </c>
      <c r="E8" s="72">
        <f t="shared" si="2"/>
        <v>10.909090909090908</v>
      </c>
      <c r="F8" s="72">
        <f t="shared" si="3"/>
        <v>13.090909090909092</v>
      </c>
      <c r="G8" s="72">
        <f t="shared" si="4"/>
        <v>15.272727272727273</v>
      </c>
      <c r="H8" s="72">
        <f t="shared" si="5"/>
        <v>17.454545454545453</v>
      </c>
    </row>
    <row r="9" spans="1:8" x14ac:dyDescent="0.2">
      <c r="A9" s="73">
        <v>20</v>
      </c>
      <c r="B9" s="74">
        <f t="shared" si="6"/>
        <v>4.8484848484848486</v>
      </c>
      <c r="C9" s="74">
        <f t="shared" si="0"/>
        <v>7.2727272727272725</v>
      </c>
      <c r="D9" s="74">
        <f t="shared" si="1"/>
        <v>9.6969696969696972</v>
      </c>
      <c r="E9" s="74">
        <f t="shared" si="2"/>
        <v>12.121212121212121</v>
      </c>
      <c r="F9" s="74">
        <f t="shared" si="3"/>
        <v>14.545454545454545</v>
      </c>
      <c r="G9" s="74">
        <f t="shared" si="4"/>
        <v>16.969696969696969</v>
      </c>
      <c r="H9" s="74">
        <f t="shared" si="5"/>
        <v>19.393939393939394</v>
      </c>
    </row>
    <row r="10" spans="1:8" x14ac:dyDescent="0.2">
      <c r="A10" s="5">
        <v>22</v>
      </c>
      <c r="B10" s="72">
        <f t="shared" si="6"/>
        <v>5.333333333333333</v>
      </c>
      <c r="C10" s="72">
        <f t="shared" si="0"/>
        <v>8</v>
      </c>
      <c r="D10" s="72">
        <f t="shared" si="1"/>
        <v>10.666666666666666</v>
      </c>
      <c r="E10" s="72">
        <f t="shared" si="2"/>
        <v>13.333333333333334</v>
      </c>
      <c r="F10" s="72">
        <f t="shared" si="3"/>
        <v>16</v>
      </c>
      <c r="G10" s="72">
        <f t="shared" si="4"/>
        <v>18.666666666666668</v>
      </c>
      <c r="H10" s="72">
        <f t="shared" si="5"/>
        <v>21.333333333333332</v>
      </c>
    </row>
    <row r="11" spans="1:8" x14ac:dyDescent="0.2">
      <c r="A11" s="73">
        <v>24</v>
      </c>
      <c r="B11" s="74">
        <f t="shared" si="6"/>
        <v>5.8181818181818183</v>
      </c>
      <c r="C11" s="74">
        <f t="shared" si="0"/>
        <v>8.7272727272727266</v>
      </c>
      <c r="D11" s="74">
        <f t="shared" si="1"/>
        <v>11.636363636363637</v>
      </c>
      <c r="E11" s="74">
        <f t="shared" si="2"/>
        <v>14.545454545454545</v>
      </c>
      <c r="F11" s="74">
        <f t="shared" si="3"/>
        <v>17.454545454545453</v>
      </c>
      <c r="G11" s="74">
        <f t="shared" si="4"/>
        <v>20.363636363636363</v>
      </c>
      <c r="H11" s="74">
        <f t="shared" si="5"/>
        <v>23.272727272727273</v>
      </c>
    </row>
    <row r="12" spans="1:8" x14ac:dyDescent="0.2">
      <c r="A12" s="5">
        <v>26</v>
      </c>
      <c r="B12" s="72">
        <f t="shared" si="6"/>
        <v>6.3030303030303028</v>
      </c>
      <c r="C12" s="72">
        <f t="shared" si="0"/>
        <v>9.454545454545455</v>
      </c>
      <c r="D12" s="72">
        <f t="shared" si="1"/>
        <v>12.606060606060606</v>
      </c>
      <c r="E12" s="72">
        <f t="shared" si="2"/>
        <v>15.757575757575758</v>
      </c>
      <c r="F12" s="72">
        <f t="shared" si="3"/>
        <v>18.90909090909091</v>
      </c>
      <c r="G12" s="72">
        <f t="shared" si="4"/>
        <v>22.060606060606062</v>
      </c>
      <c r="H12" s="72">
        <f t="shared" si="5"/>
        <v>25.212121212121211</v>
      </c>
    </row>
    <row r="13" spans="1:8" x14ac:dyDescent="0.2">
      <c r="A13" s="73">
        <v>28</v>
      </c>
      <c r="B13" s="74">
        <f t="shared" si="6"/>
        <v>6.7878787878787881</v>
      </c>
      <c r="C13" s="74">
        <f t="shared" si="0"/>
        <v>10.181818181818182</v>
      </c>
      <c r="D13" s="74">
        <f t="shared" si="1"/>
        <v>13.575757575757576</v>
      </c>
      <c r="E13" s="74">
        <f t="shared" si="2"/>
        <v>16.969696969696969</v>
      </c>
      <c r="F13" s="74">
        <f t="shared" si="3"/>
        <v>20.363636363636363</v>
      </c>
      <c r="G13" s="74">
        <f t="shared" si="4"/>
        <v>23.757575757575758</v>
      </c>
      <c r="H13" s="74">
        <f t="shared" si="5"/>
        <v>27.151515151515152</v>
      </c>
    </row>
    <row r="14" spans="1:8" x14ac:dyDescent="0.2">
      <c r="A14" s="5">
        <v>30</v>
      </c>
      <c r="B14" s="72">
        <f t="shared" si="6"/>
        <v>7.2727272727272725</v>
      </c>
      <c r="C14" s="72">
        <f t="shared" si="0"/>
        <v>10.909090909090908</v>
      </c>
      <c r="D14" s="72">
        <f t="shared" si="1"/>
        <v>14.545454545454545</v>
      </c>
      <c r="E14" s="72">
        <f t="shared" si="2"/>
        <v>18.181818181818183</v>
      </c>
      <c r="F14" s="72">
        <f t="shared" si="3"/>
        <v>21.818181818181817</v>
      </c>
      <c r="G14" s="72">
        <f t="shared" si="4"/>
        <v>25.454545454545453</v>
      </c>
      <c r="H14" s="72">
        <f t="shared" si="5"/>
        <v>29.09090909090909</v>
      </c>
    </row>
    <row r="15" spans="1:8" x14ac:dyDescent="0.2">
      <c r="A15" s="73">
        <v>32</v>
      </c>
      <c r="B15" s="74">
        <f t="shared" si="6"/>
        <v>7.7575757575757578</v>
      </c>
      <c r="C15" s="74">
        <f t="shared" si="0"/>
        <v>11.636363636363637</v>
      </c>
      <c r="D15" s="74">
        <f t="shared" si="1"/>
        <v>15.515151515151516</v>
      </c>
      <c r="E15" s="74">
        <f t="shared" si="2"/>
        <v>19.393939393939394</v>
      </c>
      <c r="F15" s="74">
        <f t="shared" si="3"/>
        <v>23.272727272727273</v>
      </c>
      <c r="G15" s="74">
        <f t="shared" si="4"/>
        <v>27.151515151515152</v>
      </c>
      <c r="H15" s="74">
        <f t="shared" si="5"/>
        <v>31.030303030303031</v>
      </c>
    </row>
    <row r="16" spans="1:8" x14ac:dyDescent="0.2">
      <c r="A16" s="5">
        <v>34</v>
      </c>
      <c r="B16" s="72">
        <f t="shared" si="6"/>
        <v>8.2424242424242422</v>
      </c>
      <c r="C16" s="72">
        <f t="shared" si="0"/>
        <v>12.363636363636363</v>
      </c>
      <c r="D16" s="72">
        <f t="shared" si="1"/>
        <v>16.484848484848484</v>
      </c>
      <c r="E16" s="72">
        <f t="shared" si="2"/>
        <v>20.606060606060606</v>
      </c>
      <c r="F16" s="72">
        <f t="shared" si="3"/>
        <v>24.727272727272727</v>
      </c>
      <c r="G16" s="72">
        <f t="shared" si="4"/>
        <v>28.848484848484848</v>
      </c>
      <c r="H16" s="72">
        <f t="shared" si="5"/>
        <v>32.969696969696969</v>
      </c>
    </row>
    <row r="17" spans="1:8" x14ac:dyDescent="0.2">
      <c r="A17" s="73">
        <v>36</v>
      </c>
      <c r="B17" s="74">
        <f t="shared" si="6"/>
        <v>8.7272727272727266</v>
      </c>
      <c r="C17" s="74">
        <f t="shared" si="0"/>
        <v>13.090909090909092</v>
      </c>
      <c r="D17" s="74">
        <f t="shared" si="1"/>
        <v>17.454545454545453</v>
      </c>
      <c r="E17" s="74">
        <f t="shared" si="2"/>
        <v>21.818181818181817</v>
      </c>
      <c r="F17" s="74">
        <f t="shared" si="3"/>
        <v>26.181818181818183</v>
      </c>
      <c r="G17" s="74">
        <f t="shared" si="4"/>
        <v>30.545454545454547</v>
      </c>
      <c r="H17" s="74">
        <f t="shared" si="5"/>
        <v>34.909090909090907</v>
      </c>
    </row>
    <row r="18" spans="1:8" x14ac:dyDescent="0.2">
      <c r="A18" s="5">
        <v>38</v>
      </c>
      <c r="B18" s="72">
        <f t="shared" si="6"/>
        <v>9.2121212121212128</v>
      </c>
      <c r="C18" s="72">
        <f t="shared" si="0"/>
        <v>13.818181818181818</v>
      </c>
      <c r="D18" s="72">
        <f t="shared" si="1"/>
        <v>18.424242424242426</v>
      </c>
      <c r="E18" s="72">
        <f t="shared" si="2"/>
        <v>23.030303030303031</v>
      </c>
      <c r="F18" s="72">
        <f t="shared" si="3"/>
        <v>27.636363636363637</v>
      </c>
      <c r="G18" s="72">
        <f t="shared" si="4"/>
        <v>32.242424242424242</v>
      </c>
      <c r="H18" s="72">
        <f t="shared" si="5"/>
        <v>36.848484848484851</v>
      </c>
    </row>
    <row r="19" spans="1:8" x14ac:dyDescent="0.2">
      <c r="A19" s="73">
        <v>40</v>
      </c>
      <c r="B19" s="74">
        <f t="shared" si="6"/>
        <v>9.6969696969696972</v>
      </c>
      <c r="C19" s="74">
        <f t="shared" si="0"/>
        <v>14.545454545454545</v>
      </c>
      <c r="D19" s="74">
        <f t="shared" si="1"/>
        <v>19.393939393939394</v>
      </c>
      <c r="E19" s="74">
        <f t="shared" si="2"/>
        <v>24.242424242424242</v>
      </c>
      <c r="F19" s="74">
        <f t="shared" si="3"/>
        <v>29.09090909090909</v>
      </c>
      <c r="G19" s="74">
        <f t="shared" si="4"/>
        <v>33.939393939393938</v>
      </c>
      <c r="H19" s="74">
        <f t="shared" si="5"/>
        <v>38.787878787878789</v>
      </c>
    </row>
    <row r="20" spans="1:8" x14ac:dyDescent="0.2">
      <c r="A20" s="5">
        <v>42</v>
      </c>
      <c r="B20" s="72">
        <f t="shared" si="6"/>
        <v>10.181818181818182</v>
      </c>
      <c r="C20" s="72">
        <f t="shared" si="0"/>
        <v>15.272727272727273</v>
      </c>
      <c r="D20" s="72">
        <f t="shared" si="1"/>
        <v>20.363636363636363</v>
      </c>
      <c r="E20" s="72">
        <f t="shared" si="2"/>
        <v>25.454545454545453</v>
      </c>
      <c r="F20" s="72">
        <f t="shared" si="3"/>
        <v>30.545454545454547</v>
      </c>
      <c r="G20" s="72">
        <f t="shared" si="4"/>
        <v>35.636363636363633</v>
      </c>
      <c r="H20" s="72">
        <f t="shared" si="5"/>
        <v>40.727272727272727</v>
      </c>
    </row>
    <row r="21" spans="1:8" x14ac:dyDescent="0.2">
      <c r="A21" s="73">
        <v>44</v>
      </c>
      <c r="B21" s="74">
        <f t="shared" si="6"/>
        <v>10.666666666666666</v>
      </c>
      <c r="C21" s="74">
        <f t="shared" si="0"/>
        <v>16</v>
      </c>
      <c r="D21" s="74">
        <f t="shared" si="1"/>
        <v>21.333333333333332</v>
      </c>
      <c r="E21" s="74">
        <f t="shared" si="2"/>
        <v>26.666666666666668</v>
      </c>
      <c r="F21" s="74">
        <f t="shared" si="3"/>
        <v>32</v>
      </c>
      <c r="G21" s="74">
        <f t="shared" si="4"/>
        <v>37.333333333333336</v>
      </c>
      <c r="H21" s="74">
        <f t="shared" si="5"/>
        <v>42.666666666666664</v>
      </c>
    </row>
    <row r="22" spans="1:8" x14ac:dyDescent="0.2">
      <c r="A22" s="5">
        <v>46</v>
      </c>
      <c r="B22" s="72">
        <f t="shared" si="6"/>
        <v>11.151515151515152</v>
      </c>
      <c r="C22" s="72">
        <f t="shared" si="0"/>
        <v>16.727272727272727</v>
      </c>
      <c r="D22" s="72">
        <f t="shared" si="1"/>
        <v>22.303030303030305</v>
      </c>
      <c r="E22" s="72">
        <f t="shared" si="2"/>
        <v>27.878787878787879</v>
      </c>
      <c r="F22" s="72">
        <f t="shared" si="3"/>
        <v>33.454545454545453</v>
      </c>
      <c r="G22" s="72">
        <f t="shared" si="4"/>
        <v>39.030303030303031</v>
      </c>
      <c r="H22" s="72">
        <f t="shared" si="5"/>
        <v>44.606060606060609</v>
      </c>
    </row>
    <row r="23" spans="1:8" x14ac:dyDescent="0.2">
      <c r="A23" s="73">
        <v>48</v>
      </c>
      <c r="B23" s="74">
        <f t="shared" si="6"/>
        <v>11.636363636363637</v>
      </c>
      <c r="C23" s="74">
        <f t="shared" si="0"/>
        <v>17.454545454545453</v>
      </c>
      <c r="D23" s="74">
        <f t="shared" si="1"/>
        <v>23.272727272727273</v>
      </c>
      <c r="E23" s="74">
        <f t="shared" si="2"/>
        <v>29.09090909090909</v>
      </c>
      <c r="F23" s="74">
        <f t="shared" si="3"/>
        <v>34.909090909090907</v>
      </c>
      <c r="G23" s="74">
        <f t="shared" si="4"/>
        <v>40.727272727272727</v>
      </c>
      <c r="H23" s="74">
        <f t="shared" si="5"/>
        <v>46.545454545454547</v>
      </c>
    </row>
    <row r="24" spans="1:8" x14ac:dyDescent="0.2">
      <c r="A24" s="5">
        <v>50</v>
      </c>
      <c r="B24" s="72">
        <f t="shared" si="6"/>
        <v>12.121212121212121</v>
      </c>
      <c r="C24" s="72">
        <f t="shared" si="0"/>
        <v>18.181818181818183</v>
      </c>
      <c r="D24" s="72">
        <f t="shared" si="1"/>
        <v>24.242424242424242</v>
      </c>
      <c r="E24" s="72">
        <f t="shared" si="2"/>
        <v>30.303030303030305</v>
      </c>
      <c r="F24" s="72">
        <f t="shared" si="3"/>
        <v>36.363636363636367</v>
      </c>
      <c r="G24" s="72">
        <f t="shared" si="4"/>
        <v>42.424242424242422</v>
      </c>
      <c r="H24" s="72">
        <f t="shared" si="5"/>
        <v>48.484848484848484</v>
      </c>
    </row>
    <row r="25" spans="1:8" x14ac:dyDescent="0.2"/>
    <row r="26" spans="1:8" x14ac:dyDescent="0.2"/>
    <row r="27" spans="1:8" x14ac:dyDescent="0.2"/>
    <row r="28" spans="1:8" x14ac:dyDescent="0.2"/>
    <row r="29" spans="1:8" x14ac:dyDescent="0.2"/>
  </sheetData>
  <sheetProtection algorithmName="SHA-512" hashValue="B9z2oO/hSJs0ceIIdrFcAx/Na1CNByMG/gVgXfc/pBtSTdYpFHoVWVNS8vZeLgTuBLyDjhhYjrknGO7IAZq4vw==" saltValue="Xtnz5z+0xkk57QdCBPm7ZQ==" spinCount="100000" sheet="1" objects="1" scenarios="1"/>
  <mergeCells count="2">
    <mergeCell ref="B3:H3"/>
    <mergeCell ref="B1:H1"/>
  </mergeCells>
  <pageMargins left="0.75" right="0.75" top="1" bottom="1" header="0.5" footer="0.5"/>
  <pageSetup orientation="landscape" horizontalDpi="0" verticalDpi="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9A1BB-D0F7-AE4C-95CB-3595205D2A76}">
  <dimension ref="A1:H6"/>
  <sheetViews>
    <sheetView zoomScale="220" zoomScaleNormal="220" workbookViewId="0">
      <selection activeCell="B2" sqref="B2"/>
    </sheetView>
  </sheetViews>
  <sheetFormatPr baseColWidth="10" defaultColWidth="0" defaultRowHeight="16" zeroHeight="1" x14ac:dyDescent="0.2"/>
  <cols>
    <col min="1" max="1" width="52.6640625" style="1" customWidth="1"/>
    <col min="2" max="2" width="10.83203125" style="1" customWidth="1"/>
    <col min="3" max="3" width="52.6640625" style="1" customWidth="1"/>
    <col min="4" max="4" width="10.83203125" style="1" customWidth="1"/>
    <col min="5" max="5" width="52.83203125" style="1" customWidth="1"/>
    <col min="6" max="6" width="10.83203125" style="1" customWidth="1"/>
    <col min="7" max="7" width="88.33203125" style="1" customWidth="1"/>
    <col min="8" max="8" width="10.83203125" style="1" customWidth="1"/>
    <col min="9" max="16384" width="10.83203125" style="1" hidden="1"/>
  </cols>
  <sheetData>
    <row r="1" spans="1:1" s="98" customFormat="1" ht="39" customHeight="1" x14ac:dyDescent="0.2">
      <c r="A1" s="97" t="s">
        <v>315</v>
      </c>
    </row>
    <row r="2" spans="1:1" ht="409" customHeight="1" x14ac:dyDescent="0.2"/>
    <row r="3" spans="1:1" ht="409" customHeight="1" x14ac:dyDescent="0.2"/>
    <row r="4" spans="1:1" x14ac:dyDescent="0.2"/>
    <row r="5" spans="1:1" x14ac:dyDescent="0.2"/>
    <row r="6" spans="1:1" x14ac:dyDescent="0.2"/>
  </sheetData>
  <sheetProtection algorithmName="SHA-512" hashValue="XeaiBqYhoWJKIvVHzji+mlZ4TESjucTYhF9T1cZGeCr4LX4a1C1RAyRKmuVsI0OvtbmFRrP/qgwhR1x09DaVDA==" saltValue="q7lSJDV5PMhuppw324d79w==" spinCount="100000" sheet="1" objects="1" scenarios="1"/>
  <pageMargins left="0.7" right="0.7" top="0.75" bottom="0.75" header="0.3" footer="0.3"/>
  <pageSetup orientation="portrait" horizontalDpi="0" verticalDpi="0"/>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1 directions</vt:lpstr>
      <vt:lpstr>2 herbicide cost per acre</vt:lpstr>
      <vt:lpstr>3 insecticide cost per acre</vt:lpstr>
      <vt:lpstr>4 adjuvants (surfactants)</vt:lpstr>
      <vt:lpstr>5 acres covered per hr</vt:lpstr>
      <vt:lpstr>6 publications</vt:lpstr>
      <vt:lpstr>'2 herbicide cost per acre'!Print_Titles</vt:lpstr>
      <vt:lpstr>'3 insecticide cost per acre'!Print_Titles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Jason Banta</dc:creator>
  <cp:lastModifiedBy>Microsoft Office User</cp:lastModifiedBy>
  <cp:lastPrinted>2015-02-16T21:06:31Z</cp:lastPrinted>
  <dcterms:created xsi:type="dcterms:W3CDTF">2012-02-06T17:49:44Z</dcterms:created>
  <dcterms:modified xsi:type="dcterms:W3CDTF">2023-06-13T02:09:04Z</dcterms:modified>
</cp:coreProperties>
</file>